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0" windowWidth="20730" windowHeight="11760"/>
  </bookViews>
  <sheets>
    <sheet name="úvodní list" sheetId="1" r:id="rId1"/>
    <sheet name="kalkulace" sheetId="2" r:id="rId2"/>
    <sheet name="DSC" sheetId="3" r:id="rId3"/>
    <sheet name="voda převzatá z JVS" sheetId="4" r:id="rId4"/>
    <sheet name="Vývoj ceny V+S" sheetId="5" r:id="rId5"/>
    <sheet name="Komentáře" sheetId="6" r:id="rId6"/>
    <sheet name="změna v nákladech" sheetId="7" r:id="rId7"/>
  </sheets>
  <definedNames>
    <definedName name="sencount" hidden="1">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8" i="4"/>
  <c r="C8"/>
  <c r="B8"/>
  <c r="H52" i="7"/>
  <c r="R48"/>
  <c r="H46"/>
  <c r="R42"/>
  <c r="H42"/>
  <c r="R41"/>
  <c r="H41"/>
  <c r="R40"/>
  <c r="H40"/>
  <c r="R39"/>
  <c r="H39"/>
  <c r="R38"/>
  <c r="H38"/>
  <c r="R37"/>
  <c r="H37"/>
  <c r="R36"/>
  <c r="H36"/>
  <c r="R35"/>
  <c r="H35"/>
  <c r="R34"/>
  <c r="H34"/>
  <c r="R33"/>
  <c r="H33"/>
  <c r="R32"/>
  <c r="H32"/>
  <c r="R31"/>
  <c r="H31"/>
  <c r="R30"/>
  <c r="H30"/>
  <c r="R29"/>
  <c r="H29"/>
  <c r="R28"/>
  <c r="H28"/>
  <c r="R27"/>
  <c r="H27"/>
  <c r="R26"/>
  <c r="H26"/>
  <c r="R25"/>
  <c r="H25"/>
  <c r="R24"/>
  <c r="H24"/>
  <c r="R23"/>
  <c r="H23"/>
  <c r="R22"/>
  <c r="H22"/>
  <c r="R21"/>
  <c r="H21"/>
  <c r="R20"/>
  <c r="H20"/>
  <c r="R19"/>
  <c r="H19"/>
  <c r="R18"/>
  <c r="H18"/>
  <c r="G81"/>
  <c r="F81"/>
  <c r="E81"/>
  <c r="D81"/>
  <c r="A76"/>
  <c r="G70"/>
  <c r="F70"/>
  <c r="Q43" s="1"/>
  <c r="E70"/>
  <c r="D70"/>
  <c r="G62"/>
  <c r="F62"/>
  <c r="E62"/>
  <c r="D62"/>
  <c r="P43"/>
  <c r="D42"/>
  <c r="D65" s="1"/>
  <c r="G34"/>
  <c r="F34"/>
  <c r="E34"/>
  <c r="D34"/>
  <c r="G29"/>
  <c r="F29"/>
  <c r="E29"/>
  <c r="D29"/>
  <c r="G26"/>
  <c r="F26"/>
  <c r="E26"/>
  <c r="D26"/>
  <c r="G23"/>
  <c r="F23"/>
  <c r="F42" s="1"/>
  <c r="E23"/>
  <c r="E42" s="1"/>
  <c r="D23"/>
  <c r="G18"/>
  <c r="G42" s="1"/>
  <c r="F18"/>
  <c r="E18"/>
  <c r="D18"/>
  <c r="G15"/>
  <c r="E15"/>
  <c r="A3"/>
  <c r="O2"/>
  <c r="N2"/>
  <c r="G64" l="1"/>
  <c r="G65"/>
  <c r="D69"/>
  <c r="D67"/>
  <c r="E65"/>
  <c r="E64"/>
  <c r="F65"/>
  <c r="F64"/>
  <c r="D64"/>
  <c r="H8" i="5"/>
  <c r="H9" s="1"/>
  <c r="H10" s="1"/>
  <c r="G8"/>
  <c r="G9" s="1"/>
  <c r="G10" s="1"/>
  <c r="F8"/>
  <c r="F9" s="1"/>
  <c r="F10" s="1"/>
  <c r="E8"/>
  <c r="E9" s="1"/>
  <c r="E10" s="1"/>
  <c r="D8"/>
  <c r="D9" s="1"/>
  <c r="D10" s="1"/>
  <c r="C8"/>
  <c r="C9" s="1"/>
  <c r="C10" s="1"/>
  <c r="B8"/>
  <c r="C7" i="4"/>
  <c r="D7" s="1"/>
  <c r="B7"/>
  <c r="D6"/>
  <c r="D5"/>
  <c r="C5"/>
  <c r="B5"/>
  <c r="D4"/>
  <c r="D3"/>
  <c r="Q16" i="3"/>
  <c r="C15"/>
  <c r="B15"/>
  <c r="C14"/>
  <c r="B14"/>
  <c r="C13"/>
  <c r="B13"/>
  <c r="C12"/>
  <c r="B12"/>
  <c r="C11"/>
  <c r="B11"/>
  <c r="C10"/>
  <c r="B10"/>
  <c r="C9"/>
  <c r="B9"/>
  <c r="C8"/>
  <c r="B8"/>
  <c r="C7"/>
  <c r="B7"/>
  <c r="G6"/>
  <c r="F6"/>
  <c r="E6"/>
  <c r="D6"/>
  <c r="C6"/>
  <c r="B6"/>
  <c r="A3"/>
  <c r="G81" i="2"/>
  <c r="F81"/>
  <c r="E81"/>
  <c r="D81"/>
  <c r="A76"/>
  <c r="G70"/>
  <c r="F70"/>
  <c r="Q43" s="1"/>
  <c r="E70"/>
  <c r="D70"/>
  <c r="G62"/>
  <c r="F62"/>
  <c r="E62"/>
  <c r="D62"/>
  <c r="G34"/>
  <c r="F34"/>
  <c r="E34"/>
  <c r="D34"/>
  <c r="G29"/>
  <c r="F29"/>
  <c r="E29"/>
  <c r="D29"/>
  <c r="G26"/>
  <c r="G42" s="1"/>
  <c r="F26"/>
  <c r="E26"/>
  <c r="D26"/>
  <c r="G23"/>
  <c r="F23"/>
  <c r="E23"/>
  <c r="D23"/>
  <c r="G18"/>
  <c r="F18"/>
  <c r="E18"/>
  <c r="D18"/>
  <c r="G15"/>
  <c r="E15"/>
  <c r="A3"/>
  <c r="O2"/>
  <c r="N2"/>
  <c r="A29" i="1"/>
  <c r="A26"/>
  <c r="G67" i="7" l="1"/>
  <c r="G69"/>
  <c r="F67"/>
  <c r="F69"/>
  <c r="E69"/>
  <c r="E67"/>
  <c r="D71"/>
  <c r="D72" s="1"/>
  <c r="D84"/>
  <c r="D86" s="1"/>
  <c r="D85"/>
  <c r="E42" i="2"/>
  <c r="P43"/>
  <c r="F42"/>
  <c r="F64" s="1"/>
  <c r="D42"/>
  <c r="G65"/>
  <c r="G64"/>
  <c r="E64"/>
  <c r="E65"/>
  <c r="F65"/>
  <c r="D64"/>
  <c r="D65"/>
  <c r="G84" i="7" l="1"/>
  <c r="G86" s="1"/>
  <c r="G85"/>
  <c r="G71"/>
  <c r="E71"/>
  <c r="E84"/>
  <c r="E86" s="1"/>
  <c r="E85"/>
  <c r="F85"/>
  <c r="F71"/>
  <c r="F72" s="1"/>
  <c r="F84"/>
  <c r="F86" s="1"/>
  <c r="D88"/>
  <c r="D89" s="1"/>
  <c r="D87"/>
  <c r="E69" i="2"/>
  <c r="E67"/>
  <c r="D69"/>
  <c r="D67"/>
  <c r="G67"/>
  <c r="G69"/>
  <c r="F69"/>
  <c r="F67"/>
  <c r="F87" i="7" l="1"/>
  <c r="F88"/>
  <c r="F89" s="1"/>
  <c r="E87"/>
  <c r="E88"/>
  <c r="E73"/>
  <c r="E74" s="1"/>
  <c r="E72"/>
  <c r="G72"/>
  <c r="G73"/>
  <c r="G74" s="1"/>
  <c r="G88"/>
  <c r="G87"/>
  <c r="G71" i="2"/>
  <c r="G84"/>
  <c r="G86" s="1"/>
  <c r="G85"/>
  <c r="E85"/>
  <c r="E84"/>
  <c r="E86" s="1"/>
  <c r="E71"/>
  <c r="F85"/>
  <c r="F71"/>
  <c r="F84"/>
  <c r="F86" s="1"/>
  <c r="D84"/>
  <c r="D86" s="1"/>
  <c r="D85"/>
  <c r="D71"/>
  <c r="D72" s="1"/>
  <c r="E90" i="7" l="1"/>
  <c r="E91" s="1"/>
  <c r="E89"/>
  <c r="G90"/>
  <c r="G91" s="1"/>
  <c r="G89"/>
  <c r="E88" i="2"/>
  <c r="E87"/>
  <c r="G88"/>
  <c r="G16" i="3" s="1"/>
  <c r="R16" s="1"/>
  <c r="G87" i="2"/>
  <c r="F72"/>
  <c r="F88"/>
  <c r="F89" s="1"/>
  <c r="F87"/>
  <c r="G73"/>
  <c r="G74" s="1"/>
  <c r="G72"/>
  <c r="E72"/>
  <c r="E73"/>
  <c r="E74" s="1"/>
  <c r="D87"/>
  <c r="D88"/>
  <c r="D89" s="1"/>
  <c r="G89" l="1"/>
  <c r="G90"/>
  <c r="G91" s="1"/>
  <c r="E90"/>
  <c r="E91" s="1"/>
  <c r="E89"/>
  <c r="F16" i="3"/>
</calcChain>
</file>

<file path=xl/comments1.xml><?xml version="1.0" encoding="utf-8"?>
<comments xmlns="http://schemas.openxmlformats.org/spreadsheetml/2006/main">
  <authors>
    <author>Váňa Stanislav</author>
    <author>Vrána Jan</author>
  </authors>
  <commentList>
    <comment ref="O1" authorId="0">
      <text>
        <r>
          <rPr>
            <b/>
            <sz val="9"/>
            <color indexed="81"/>
            <rFont val="Tahoma"/>
            <family val="2"/>
            <charset val="238"/>
          </rPr>
          <t>Váňa Stanislav:</t>
        </r>
        <r>
          <rPr>
            <sz val="9"/>
            <color indexed="81"/>
            <rFont val="Tahoma"/>
            <family val="2"/>
            <charset val="238"/>
          </rPr>
          <t xml:space="preserve">
pomůcka pro zahrnutí ročních odměn</t>
        </r>
      </text>
    </comment>
    <comment ref="B6" authorId="1">
      <text>
        <r>
          <rPr>
            <sz val="8"/>
            <color indexed="81"/>
            <rFont val="Arial"/>
            <family val="2"/>
            <charset val="238"/>
          </rPr>
          <t>Název subjektu, který inkasuje od odběratelů platby za vodné a za stočné.</t>
        </r>
      </text>
    </comment>
    <comment ref="B7" authorId="1">
      <text>
        <r>
          <rPr>
            <sz val="8"/>
            <color indexed="81"/>
            <rFont val="Arial"/>
            <family val="2"/>
            <charset val="238"/>
          </rPr>
          <t>Název subjektu, který má povolení k provozování infrastruktury uvedené v rozhodnutí příslušného KÚ. IČ uvedeného subjektu.</t>
        </r>
      </text>
    </comment>
    <comment ref="B8" authorId="1">
      <text>
        <r>
          <rPr>
            <sz val="8"/>
            <color indexed="81"/>
            <rFont val="Arial"/>
            <family val="2"/>
            <charset val="238"/>
          </rPr>
          <t>Vlastník infrastruktury vodovodů a kanalizací k jehož provozování má subjekt povolení v řádku II. IČ uvedeného subjektu</t>
        </r>
      </text>
    </comment>
    <comment ref="C8" authorId="0">
      <text>
        <r>
          <rPr>
            <b/>
            <sz val="9"/>
            <color indexed="81"/>
            <rFont val="Tahoma"/>
            <family val="2"/>
            <charset val="238"/>
          </rPr>
          <t>Váňa Stanislav:</t>
        </r>
        <r>
          <rPr>
            <sz val="9"/>
            <color indexed="81"/>
            <rFont val="Tahoma"/>
            <family val="2"/>
            <charset val="238"/>
          </rPr>
          <t xml:space="preserve">
vyber hodnotu</t>
        </r>
      </text>
    </comment>
    <comment ref="B9" authorId="1">
      <text>
        <r>
          <rPr>
            <sz val="8"/>
            <color indexed="81"/>
            <rFont val="Arial"/>
            <family val="2"/>
            <charset val="238"/>
          </rPr>
          <t xml:space="preserve">"Formulář A - Výpočet odběratelské ceny pro vodné a ceny pro stočné roku XXXX"
"Formulář B - Výpočet ceny mezi provozovateli (pitné vody předané a odpadní vody převzaté) pro vodné a ceny pro stočné roku XXXX". U Formuláře B se doplní IČ subjektu nebo subjektů, kterým je pitná voda za vypočtenou (kalkulovanou) cenu dodávána, po případě, od kterých je odpadní voda přebírána.
"Formulář C - jednotkové náklady pro zdroj pitné vody roku XXXX".
"Formulář D - jednotkové náklady pro dopravu pitné vody roku XXXX".
"Formulář E - jednotkové náklady dopravy odpadních vod roku XXXX".
"Formulář F - jednotkové náklady čištění odpadních vod roku XXXX".
Poznámka: formuláře se liší pouze v druhu, nikoliv ve formě zpracování
</t>
        </r>
        <r>
          <rPr>
            <i/>
            <sz val="8"/>
            <color indexed="63"/>
            <rFont val="Arial"/>
            <family val="2"/>
            <charset val="238"/>
          </rPr>
          <t>Pro výpočet cen pro vodné a stočné, zvláště pak výpočet ceny mezi provozovateli je žádoucí znát Dílčí jednotkové náklady zdrojů pitné vody, dopravy pitné vody, dopravy odpadních vod a čistíren odpadních vod. Tyto údaje, za zdroje pitné vody a čisírny odpadních vod jsou povinné údaje pro vybrané údaje provozní evidence VÚPE. Jedná se o formuláře C, D, E a F. Tyto se v rámci "Porovnání" nezasílají na MZE, ale archivují se a slouží provozovateli a kontrolním orgánům. Výsledky formulářů C a F (jednotkové náklady) se uvádí do VÚPE.</t>
        </r>
      </text>
    </comment>
    <comment ref="B10" authorId="1">
      <text>
        <r>
          <rPr>
            <sz val="8"/>
            <color indexed="81"/>
            <rFont val="Arial"/>
            <family val="2"/>
            <charset val="238"/>
          </rPr>
          <t>V případě většího množství jednotlivých výpočtů cen a s tím i formulářů u jednoho vlastníka nebo provozovatele, bude příslušné písmenko formuláře indexováno pořadovým číslem příslušné ceny pro vodné a ceny pro stočné. Neindexovaná písmena formulářů pak budou soutovými formuláři.</t>
        </r>
      </text>
    </comment>
    <comment ref="B11" authorId="1">
      <text>
        <r>
          <rPr>
            <sz val="8"/>
            <color indexed="81"/>
            <rFont val="Arial"/>
            <family val="2"/>
            <charset val="238"/>
          </rPr>
          <t xml:space="preserve">Identifikační číslo provozní evidence, která je zahrnuta nákladově do předmětného výpočtu ceny pro vodné a ceny pro stočné.
</t>
        </r>
        <r>
          <rPr>
            <i/>
            <sz val="8"/>
            <color indexed="63"/>
            <rFont val="Arial"/>
            <family val="2"/>
            <charset val="238"/>
          </rPr>
          <t>IČPE obsahují i IČME.
IČME = identifikační číslo majetkové evidence</t>
        </r>
      </text>
    </comment>
    <comment ref="B18" authorId="1">
      <text>
        <r>
          <rPr>
            <sz val="8"/>
            <color indexed="81"/>
            <rFont val="Arial"/>
            <family val="2"/>
            <charset val="238"/>
          </rPr>
          <t>Skupina podpoložek - součet</t>
        </r>
      </text>
    </comment>
    <comment ref="B19" authorId="1">
      <text>
        <r>
          <rPr>
            <sz val="8"/>
            <color indexed="81"/>
            <rFont val="Arial"/>
            <family val="2"/>
            <charset val="238"/>
          </rPr>
          <t xml:space="preserve">Náklad za skutečné odebrané množství podzemní vody pro zásobování pitnou vodou, nebo platba za nákup povrchové vody pro úpravu na vodu pitnou.
</t>
        </r>
        <r>
          <rPr>
            <i/>
            <sz val="8"/>
            <color indexed="63"/>
            <rFont val="Arial"/>
            <family val="2"/>
            <charset val="238"/>
          </rPr>
          <t>U podzemní vody poplatkem podle zákona č. 254/201 Sb., o vodách, ve znění pozdějších předpisů.</t>
        </r>
      </text>
    </comment>
    <comment ref="B20" authorId="1">
      <text>
        <r>
          <rPr>
            <sz val="8"/>
            <color indexed="81"/>
            <rFont val="Arial"/>
            <family val="2"/>
            <charset val="238"/>
          </rPr>
          <t xml:space="preserve">Náklad u vody pitné (sl. 3 a 4) za nákup pitné vody od jiného provozovatele, nebo náklad u vody odpadní (sl. 6 a 7) za převzetí odpadních vod k jejich převodu a čištění jinými provozovateli. Tyto náklady mohou vzniknout v rámci jednoho provozovatele mezi různými kalkulacemi.
</t>
        </r>
        <r>
          <rPr>
            <i/>
            <sz val="8"/>
            <color indexed="63"/>
            <rFont val="Arial"/>
            <family val="2"/>
            <charset val="238"/>
          </rPr>
          <t>V případě dvousložkové ceny zahrnuje obě složky. U formulářů podle prílohy č. 20 se uvedou v komentáři IČ subjektů, od kterých byla pitná voda převzata (jterým bylo zaplaceno) a u odpadní vody, kterým byla předána (kterým za to bylo zaplaceno).</t>
        </r>
      </text>
    </comment>
    <comment ref="B21" authorId="1">
      <text>
        <r>
          <rPr>
            <sz val="8"/>
            <color indexed="81"/>
            <rFont val="Arial"/>
            <family val="2"/>
            <charset val="238"/>
          </rPr>
          <t xml:space="preserve">Náklad za nákup chemikálií spotřebovaných při výrobě a dodávce pitné vody (sl. 3 a 4) a čištění odpadních vod (sl. 6 a 7)
</t>
        </r>
        <r>
          <rPr>
            <i/>
            <sz val="8"/>
            <color indexed="63"/>
            <rFont val="Arial"/>
            <family val="2"/>
            <charset val="238"/>
          </rPr>
          <t>Chemikálie pro chemické laboratoře se zahrnují do řádku 5.3 - ostatní provozní náklady ve vlastní režii.</t>
        </r>
      </text>
    </comment>
    <comment ref="B22" authorId="1">
      <text>
        <r>
          <rPr>
            <sz val="8"/>
            <color indexed="81"/>
            <rFont val="Arial"/>
            <family val="2"/>
            <charset val="238"/>
          </rPr>
          <t xml:space="preserve">Náklady na materiál spotřebovaný při výrobě. Dále se zde zahrnuje spotřeba vodoměrů s pořizovací cenou do 40 ti.s Kč v závislosti na účetních pravidlech příslušné společnosti (jednorázový nebo postupný odpis).
</t>
        </r>
        <r>
          <rPr>
            <i/>
            <sz val="8"/>
            <color indexed="63"/>
            <rFont val="Arial"/>
            <family val="2"/>
            <charset val="238"/>
          </rPr>
          <t>Nezahrnují se náklady na materiál spotřebovaný při údržbě, opravách a "obnově". Nezahrnuje se zde spotřeba ochranných pomůcek. Ty se vykazují buď v řádku 8 výrobní režie, nebo v rámci hodinových zúčtovacích sazeb při oceňování oprav infrastrukturního majetku - řádek 4.2</t>
        </r>
      </text>
    </comment>
    <comment ref="N22" authorId="0">
      <text>
        <r>
          <rPr>
            <b/>
            <sz val="9"/>
            <color indexed="81"/>
            <rFont val="Tahoma"/>
            <family val="2"/>
            <charset val="238"/>
          </rPr>
          <t>Váňa Stanislav:</t>
        </r>
        <r>
          <rPr>
            <sz val="9"/>
            <color indexed="81"/>
            <rFont val="Tahoma"/>
            <family val="2"/>
            <charset val="238"/>
          </rPr>
          <t xml:space="preserve">
nutno doplnit, aby správně fungovaly grafy</t>
        </r>
      </text>
    </comment>
    <comment ref="B23" authorId="1">
      <text>
        <r>
          <rPr>
            <sz val="8"/>
            <color indexed="81"/>
            <rFont val="Arial"/>
            <family val="2"/>
            <charset val="238"/>
          </rPr>
          <t>Skupina podpoložek - součet</t>
        </r>
      </text>
    </comment>
    <comment ref="B24" authorId="1">
      <text>
        <r>
          <rPr>
            <sz val="8"/>
            <color indexed="81"/>
            <rFont val="Arial"/>
            <family val="2"/>
            <charset val="238"/>
          </rPr>
          <t xml:space="preserve">Náklady na elektrickou energii na objektech infrastrukturního majetku.
</t>
        </r>
        <r>
          <rPr>
            <i/>
            <sz val="8"/>
            <color indexed="63"/>
            <rFont val="Arial"/>
            <family val="2"/>
            <charset val="238"/>
          </rPr>
          <t>Náklady na elektrickou energii u provozních středisek a v administrativních budovách se zahrnuje do správní režie.</t>
        </r>
      </text>
    </comment>
    <comment ref="B25" authorId="1">
      <text>
        <r>
          <rPr>
            <sz val="8"/>
            <color indexed="81"/>
            <rFont val="Arial"/>
            <family val="2"/>
            <charset val="238"/>
          </rPr>
          <t xml:space="preserve">Náklady na plyn, teplo, pohonné hmoty (benzin, nafta) a pitnou vodu na objektech infrastrukturního majetku.
</t>
        </r>
        <r>
          <rPr>
            <i/>
            <sz val="8"/>
            <color indexed="63"/>
            <rFont val="Arial"/>
            <family val="2"/>
            <charset val="238"/>
          </rPr>
          <t>Náklady na plyn, teplo a pitnou vodu u provozních středisek a v administrativních budovách se zahrnuje do správní režie.</t>
        </r>
      </text>
    </comment>
    <comment ref="B26" authorId="1">
      <text>
        <r>
          <rPr>
            <sz val="8"/>
            <color indexed="81"/>
            <rFont val="Arial"/>
            <family val="2"/>
            <charset val="238"/>
          </rPr>
          <t>Skupina podpoložek - součet</t>
        </r>
      </text>
    </comment>
    <comment ref="B27" authorId="1">
      <text>
        <r>
          <rPr>
            <sz val="8"/>
            <color indexed="81"/>
            <rFont val="Arial"/>
            <family val="2"/>
            <charset val="238"/>
          </rPr>
          <t xml:space="preserve">Nákladem jsou mzdy včetně náhrady mezd. jedná se o pracovníky pracující na objektech infrastrukturního majeteku (ÚV, při dopravě pitné vody, přepravě odpadních vod ČOV), vztahující se k dané kalkulaci a to i mistrů, vedoucích provozů, plánovaček provozních středisek apod.
</t>
        </r>
        <r>
          <rPr>
            <i/>
            <sz val="8"/>
            <color indexed="63"/>
            <rFont val="Arial"/>
            <family val="2"/>
            <charset val="238"/>
          </rPr>
          <t>Do přímých mezd se nezahrnují mzdy pracovníků, v případě užití takzvaného druhotného okruhu, kdy se mzdy zahrnují přes hodinovou sazbu do řádku 4.2 nebo 5.3.(Obdoba externích služeb)</t>
        </r>
      </text>
    </comment>
    <comment ref="B28" authorId="1">
      <text>
        <r>
          <rPr>
            <sz val="8"/>
            <color indexed="81"/>
            <rFont val="Arial"/>
            <family val="2"/>
            <charset val="238"/>
          </rPr>
          <t>Nákladem jsou vlastní ostatní osobní náklady, tj. dohody o provedení činností, smlouvy o dílo, odovody na sociální a zdravotní pojištění, dále ostatní náklady v souladu s platnými pravidly cenové regulace. - To vše ve vazbě na řádek 3.1 přímé mzdy. U dílčích formlulářů C, D, E, F se náklady uvedou v podílech podle vnitřního předpisu.</t>
        </r>
      </text>
    </comment>
    <comment ref="B29" authorId="1">
      <text>
        <r>
          <rPr>
            <sz val="8"/>
            <color indexed="81"/>
            <rFont val="Arial"/>
            <family val="2"/>
            <charset val="238"/>
          </rPr>
          <t>Skupina podpoložek - součet</t>
        </r>
      </text>
    </comment>
    <comment ref="B30" authorId="1">
      <text>
        <r>
          <rPr>
            <sz val="8"/>
            <color indexed="81"/>
            <rFont val="Arial"/>
            <family val="2"/>
            <charset val="238"/>
          </rPr>
          <t xml:space="preserve">Odpisy zde uvádí vlastníci infrastrukturního majetku vodovodů a kanalizací, pokud majetek nepronajali provozovateli. především se jedná o obce a společnosti smíšené, to jsou vlastníci současně provozující vodovody a kanalizace. provozní společnosti zde uvádějí odpisy v případě realizace technického (ekonomického) zhodnocení infrastrukturního majetku pronajímatele podle § 28 odst. 6 zákona č. 563/1991 Sb. Dále odpisy majetku souvisejícího s infrastrukturním majetkem - odpisy GIS, odpisy dispečinků, jsou-li majetkem vlastníka infrastruktury, odpisy vodoměrů s pořizovací cenou nad 40 tis. Kč, uvádí se i odpisy dalšího technického majetku, např. odpisy přenosných čerpdel, IT techniky, mechanizace atd., pokud je přímo přiřaditelná k dané službě a vlastníkovi a není vykazována v rámci vnitropodnikových převodů.
</t>
        </r>
        <r>
          <rPr>
            <i/>
            <sz val="8"/>
            <color indexed="63"/>
            <rFont val="Arial"/>
            <family val="2"/>
            <charset val="238"/>
          </rPr>
          <t>Neuvádí se zde odpisy provozního majetku - provozní a administrativní budovy ve vlastnictví provozovatele - ty se zahrnují do správní režie. Nezahrnují se odpisy dopravních a mechanizačních prostředk, pokud nejsou ve vlastnictví vlastníka vodovodu nebo kanalizace vzheldem k účelové vazbě ke konkrétnímu infrastrukturnímu majetku a v rámci tohoto majetku jsou také odepisovány. Do kalkulace ceny nelze zahrnout odpisy z infrastrukturního majetku vodovodů nebo kanaliuací nebo jeho částí,pokud byl pořízen z dotačních prostředků.</t>
        </r>
      </text>
    </comment>
    <comment ref="B31" authorId="1">
      <text>
        <r>
          <rPr>
            <sz val="8"/>
            <color indexed="81"/>
            <rFont val="Arial"/>
            <family val="2"/>
            <charset val="238"/>
          </rPr>
          <t xml:space="preserve">Náklady tvoří veškeré opravy infrastrukturního majetku realizované ve vlastní režii i dodavatelsky v souladu se zákonem č. 563/1991 Sb. U oprav ve vlastní režii se jedná nejen o hodnotu vlastních prací, ale i náklady související s náklady na metriál, dopravu a stavební mechanizaci. Opravou nedochází k technickému a ekonomickému zhodnocení hmotného majetku.
</t>
        </r>
        <r>
          <rPr>
            <i/>
            <sz val="8"/>
            <color indexed="63"/>
            <rFont val="Arial"/>
            <family val="2"/>
            <charset val="238"/>
          </rPr>
          <t>Zahrnují se sem i opravy dopravních a mechanizačních prostředků, pokud jsou ve vlastnictví vlastníka vodovodu nebo kanalizace vzhledem k jejich účelové vazbě ke konkrétnímu majetku.</t>
        </r>
      </text>
    </comment>
    <comment ref="B32" authorId="1">
      <text>
        <r>
          <rPr>
            <sz val="8"/>
            <color indexed="81"/>
            <rFont val="Arial"/>
            <family val="2"/>
            <charset val="238"/>
          </rPr>
          <t>Nákladem jsou finanční prostředky hrazené vlastníkovi infrastruktury vodovodu nebo kanalizace nájemcem (provozovatelem)</t>
        </r>
      </text>
    </comment>
    <comment ref="B33" authorId="1">
      <text>
        <r>
          <rPr>
            <sz val="8"/>
            <color indexed="81"/>
            <rFont val="Arial"/>
            <family val="2"/>
            <charset val="238"/>
          </rPr>
          <t>Nákladem jsou prostředky potřebné a vymezené na obnovu infrastrukturního majetku "Plánem financování obnovy vodovodů a kanalizací", umožňující obnovu nad rámec nákladových položek uvedených v položkách 4.1 a 4.2. Jedná se i o ifrastrukturu pořízenou z dotačních prostředků.</t>
        </r>
      </text>
    </comment>
    <comment ref="B34" authorId="1">
      <text>
        <r>
          <rPr>
            <sz val="8"/>
            <color indexed="81"/>
            <rFont val="Arial"/>
            <family val="2"/>
            <charset val="238"/>
          </rPr>
          <t>Skupina podpoložek - součet</t>
        </r>
      </text>
    </comment>
    <comment ref="B35" authorId="1">
      <text>
        <r>
          <rPr>
            <sz val="8"/>
            <color indexed="81"/>
            <rFont val="Arial"/>
            <family val="2"/>
            <charset val="238"/>
          </rPr>
          <t>Nákladem jsou platby jak za vypouštěné znečištění, tak za množství vypouštěných odpadních vod podle jiného právního předpisu.</t>
        </r>
      </text>
    </comment>
    <comment ref="B36" authorId="1">
      <text>
        <r>
          <rPr>
            <sz val="8"/>
            <color indexed="81"/>
            <rFont val="Arial"/>
            <family val="2"/>
            <charset val="238"/>
          </rPr>
          <t>Nákladem jsou ostatní náklady, neuvedené v předchozích řádcích charakteru externích nákladů. Např. likvidace kalů externě, pojištění majetku, pojistné odpovědnosti, laboratorní služby externě, odečty a fakturace vodného a stočného externě, monitorování a čištění kanalizací externí, zahrnuje je i nájem provozního majetku, provozní náklady na GIS externě, údržbu a opravy přípojek ve veřejném prostranství externě, dopravu externě.</t>
        </r>
      </text>
    </comment>
    <comment ref="B37" authorId="1">
      <text>
        <r>
          <rPr>
            <sz val="8"/>
            <color indexed="81"/>
            <rFont val="Arial"/>
            <family val="2"/>
            <charset val="238"/>
          </rPr>
          <t>Nákladem jsou ostatní náklady, neuvedené v předchozích řádcích, pokud mají charakter interních nákladů. Např. laboratorní služby interně, odečty a fakturace vodného a stočného interně, monitorování a čištění kanalizací interně, zahrnuje provozní náklady na Gis interně, údržbu včetně materiálu a opravy přípojek ve veřejném prostranství interně. Spotřeba vody k čištění potrubí. Likvidace kalu, je-li realizována ve vlastní režii.</t>
        </r>
      </text>
    </comment>
    <comment ref="B38" authorId="1">
      <text>
        <r>
          <rPr>
            <sz val="8"/>
            <color indexed="81"/>
            <rFont val="Arial"/>
            <family val="2"/>
            <charset val="238"/>
          </rPr>
          <t xml:space="preserve">Úroky z úvěrů hrazené po uvedení infrastrukturního majetku do užívání, poplatky spojené s účelovými úvěry. Finanční vypořádání rozdílu kalkulací prováděných podle metodiky OPŽP - finanční nástroje.
</t>
        </r>
        <r>
          <rPr>
            <i/>
            <sz val="8"/>
            <color indexed="63"/>
            <rFont val="Arial"/>
            <family val="2"/>
            <charset val="238"/>
          </rPr>
          <t>Nezahrnují se bankovní poplatky (poplatky za přijaté a odeslané platby) a úroky z provozních úvěrů - zahrnují se do správní režie.</t>
        </r>
      </text>
    </comment>
    <comment ref="B39" authorId="1">
      <text>
        <r>
          <rPr>
            <sz val="8"/>
            <color indexed="81"/>
            <rFont val="Arial"/>
            <family val="2"/>
            <charset val="238"/>
          </rPr>
          <t xml:space="preserve">Výnosy tržeb za služby poskytované infrastrukturou, aniž by náklady byly vyčleněny. Např. za čištění dovezených odpadních vod - zpracování dovezeného kalu ze septiků, různé zpracování dovezeného kalu. Výnosy z prodeje elektrické energie získané na objektech infrastrukturního majetku. Finanční vypořádání rozdílu kalkulací prováděných podle metodiky OPŽP - finanční nástroje.
</t>
        </r>
        <r>
          <rPr>
            <i/>
            <sz val="8"/>
            <color indexed="63"/>
            <rFont val="Arial"/>
            <family val="2"/>
            <charset val="238"/>
          </rPr>
          <t>Uvádí se v záporné hodnotě.</t>
        </r>
      </text>
    </comment>
    <comment ref="B40" authorId="1">
      <text>
        <r>
          <rPr>
            <sz val="8"/>
            <color indexed="81"/>
            <rFont val="Arial"/>
            <family val="2"/>
            <charset val="238"/>
          </rPr>
          <t xml:space="preserve">Nákladem jsou odpisy provozního majetku ve vlastnictví provozovatele, opravy na budovách provozních středisek ve vlastnictví provozovatele. Spotřeba energií provozních středisek. Dále dopravní náklady a ostatní náklady spojené s provozními středisky, které mají charakter nepřímých nákladů a souvisejí s výrobními aktivitami.
</t>
        </r>
        <r>
          <rPr>
            <i/>
            <sz val="8"/>
            <color indexed="63"/>
            <rFont val="Arial"/>
            <family val="2"/>
            <charset val="238"/>
          </rPr>
          <t>Opravy dopravních a stavebních prostředků jsou vykazovány v rámci kilometrových nebo hodinových sazeb při opravách.</t>
        </r>
      </text>
    </comment>
    <comment ref="B41" authorId="1">
      <text>
        <r>
          <rPr>
            <sz val="8"/>
            <color indexed="81"/>
            <rFont val="Arial"/>
            <family val="2"/>
            <charset val="238"/>
          </rPr>
          <t xml:space="preserve">Náklady zahrnují odpisy a opravy externí i vlastní na administrativních budovách ve vlastnictví provozovatele, spotřebu materiálů pro řízení a administrativní činnost, spotřebu el. energii, plynu a tepla na provozních střediscích a administrativních nudovách, nájemné z administrativních budov, náklady na spoje a výpočetní techniku, cestovné a dopravu k režijní činnosti, školení pracovníků vedených v režijních činnostech. Náklady na správní režii se uvádějí v podílu, v jakém se zahrnují do kalkulací podle vnitřního předpisu.
</t>
        </r>
        <r>
          <rPr>
            <i/>
            <sz val="8"/>
            <color indexed="63"/>
            <rFont val="Arial"/>
            <family val="2"/>
            <charset val="238"/>
          </rPr>
          <t>Mzdové a ostatní sociální náklady vedené v režijních činnostech (vedení organizace, ekonomické úseky, hospodářská správa apod.) sse uvádějí v řádku 3.1 a 3.2. Podílová režie se použije také v případech, pokud organizace uplatňuje více kalkulací a pokud provádí činnosti nesouvisející s cenou pro vodné a stočné (např. projekční a poradenská činnost včetně inženýrský činnosti při výstavbě, realizace stavebních zakázek, obchodní činnost apod., pokud jde o externí zakázky takového charakteru).</t>
        </r>
      </text>
    </comment>
    <comment ref="B43" authorId="1">
      <text>
        <r>
          <rPr>
            <sz val="8"/>
            <color indexed="81"/>
            <rFont val="Arial"/>
            <family val="2"/>
            <charset val="238"/>
          </rPr>
          <t xml:space="preserve">Uvádí se podle VÚME součtem aktuálních pořizovacích cen všech majetků vodovodů a kanalizací zahrnutých v daných VÚPE, viz řádek VI.
</t>
        </r>
        <r>
          <rPr>
            <i/>
            <sz val="8"/>
            <color indexed="63"/>
            <rFont val="Arial"/>
            <family val="2"/>
            <charset val="238"/>
          </rPr>
          <t>Uvádí se u všech formulářů A a B, to znamená i indexovaných (v případě více cen odběratelských, případně i více cen mezi provozovateli u jednoho provozovatele). Slouží k rámcové kontrole stanovené výše nákladů na obnovu generovaných v ceně pro vodné a ceně pro stočné.</t>
        </r>
      </text>
    </comment>
    <comment ref="B44" authorId="1">
      <text>
        <r>
          <rPr>
            <sz val="8"/>
            <color indexed="81"/>
            <rFont val="Arial"/>
            <family val="2"/>
            <charset val="238"/>
          </rPr>
          <t xml:space="preserve">Podle inventurních listů dosud zcela neodepsaného majetku.
</t>
        </r>
        <r>
          <rPr>
            <i/>
            <sz val="8"/>
            <color indexed="63"/>
            <rFont val="Arial"/>
            <family val="2"/>
            <charset val="238"/>
          </rPr>
          <t>Zůstatková cena majetku sloužícího činnostem, které se posuzují jako oprávněné náklady zahrnutelné do ceny pro vodné a ceny pro stočné. Uvádí se pouze u součtových formulářů A a B. (bez indexu). Rozdělení na A a B se provede přepočtem přes náklady. V případě majetku užíváného i pro jiné činnosti než uvedené v první vět, určí se podíl zahrnutelné zůstatkové ceny v % podle míry využívání k činnostem zahrnutelných do ceny pro vodné a ceny pro stočné.</t>
        </r>
      </text>
    </comment>
    <comment ref="B45" authorId="1">
      <text>
        <r>
          <rPr>
            <sz val="8"/>
            <color indexed="81"/>
            <rFont val="Arial"/>
            <family val="2"/>
            <charset val="238"/>
          </rPr>
          <t xml:space="preserve">Uvádí se počet všech pracovníků tedy včetně managementu.
</t>
        </r>
        <r>
          <rPr>
            <i/>
            <sz val="8"/>
            <color indexed="63"/>
            <rFont val="Arial"/>
            <family val="2"/>
            <charset val="238"/>
          </rPr>
          <t xml:space="preserve">Uvádí se pouze u součtových formulářů A a B. (bez indexu). Rozdělení na A a B se provede přepočtem přes náklady. </t>
        </r>
      </text>
    </comment>
    <comment ref="B46" authorId="1">
      <text>
        <r>
          <rPr>
            <sz val="8"/>
            <color indexed="81"/>
            <rFont val="Arial"/>
            <family val="2"/>
            <charset val="238"/>
          </rPr>
          <t xml:space="preserve">Při výpočtu ceny pro vodné se ve sloupci 3. uvádí množství vody pitné fakturované v předchozím kalendářním roce dosažené (zpravidla množství, které dle aktuální spotřeby bude dosaženo, neboť cena se kalkuluje před ukončením kalendářního roku). Ve sloupci 4. se uvádí množství předpokládané na základě sloupce 3.
</t>
        </r>
        <r>
          <rPr>
            <i/>
            <sz val="8"/>
            <color indexed="63"/>
            <rFont val="Arial"/>
            <family val="2"/>
            <charset val="238"/>
          </rPr>
          <t>Pod pojmem "Voda pitná fakturovaná" rozumíme množství vody  v daném roce dodané, i když je fakturována až v roce následujícím.</t>
        </r>
      </text>
    </comment>
    <comment ref="B47" authorId="1">
      <text>
        <r>
          <rPr>
            <sz val="8"/>
            <color indexed="81"/>
            <rFont val="Arial"/>
            <family val="2"/>
            <charset val="238"/>
          </rPr>
          <t xml:space="preserve">Obdobně jako v řádku D,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48" authorId="1">
      <text>
        <r>
          <rPr>
            <sz val="8"/>
            <color indexed="81"/>
            <rFont val="Arial"/>
            <family val="2"/>
            <charset val="238"/>
          </rPr>
          <t xml:space="preserve">Při výpočtu ceny pro stočné se ve sloupci 6. uvádí množství odpadní vody fakturované v předchozím kalendářním roce dosažené (zpravidla množství, které dle aktuální spotřeby bude dosaženo, neboť cena se kalkuluje před ukončením kalendářního roku). Ve sloupci 7. se uvádí množství předpokládané na základě sloupce 6.
</t>
        </r>
        <r>
          <rPr>
            <i/>
            <sz val="8"/>
            <color indexed="63"/>
            <rFont val="Arial"/>
            <family val="2"/>
            <charset val="238"/>
          </rPr>
          <t>Pod pojmem "Voda odpadní odváděná fakturovaná" rozumíme množství odpadní vody  v daném roce odvedené, i když je fakturována až v roce následujícím.</t>
        </r>
      </text>
    </comment>
    <comment ref="B49" authorId="1">
      <text>
        <r>
          <rPr>
            <sz val="8"/>
            <color indexed="81"/>
            <rFont val="Arial"/>
            <family val="2"/>
            <charset val="238"/>
          </rPr>
          <t xml:space="preserve">Obdobně jako v řádku F,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50" authorId="1">
      <text>
        <r>
          <rPr>
            <sz val="8"/>
            <color indexed="81"/>
            <rFont val="Arial"/>
            <family val="2"/>
            <charset val="238"/>
          </rPr>
          <t xml:space="preserve">Veškerá fakturovaná srážková voda pro kalendářní rok.
</t>
        </r>
        <r>
          <rPr>
            <i/>
            <sz val="8"/>
            <color indexed="63"/>
            <rFont val="Arial"/>
            <family val="2"/>
            <charset val="238"/>
          </rPr>
          <t>Vzhledem k tomu, že se jedná o výpočtové množství, lze tuto hodnotu uvádět ne jako předpoklad, ale jako skutečné množství fakturované.</t>
        </r>
      </text>
    </comment>
    <comment ref="B51" authorId="1">
      <text>
        <r>
          <rPr>
            <sz val="8"/>
            <color indexed="81"/>
            <rFont val="Arial"/>
            <family val="2"/>
            <charset val="238"/>
          </rPr>
          <t xml:space="preserve">Jedná se o množství odtékájící z čistírny odpadních vod do vod povrchových. Při výpočtu ceny se jedná o množství předpokládaná.
</t>
        </r>
        <r>
          <rPr>
            <i/>
            <sz val="8"/>
            <color indexed="63"/>
            <rFont val="Arial"/>
            <family val="2"/>
            <charset val="238"/>
          </rPr>
          <t>Údaj slouží kontrolním orgánům.</t>
        </r>
      </text>
    </comment>
    <comment ref="B52" authorId="1">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 ref="B53" authorId="1">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List>
</comments>
</file>

<file path=xl/comments2.xml><?xml version="1.0" encoding="utf-8"?>
<comments xmlns="http://schemas.openxmlformats.org/spreadsheetml/2006/main">
  <authors>
    <author>Klímová Dana</author>
  </authors>
  <commentList>
    <comment ref="E7" authorId="0">
      <text>
        <r>
          <rPr>
            <b/>
            <sz val="9"/>
            <color indexed="81"/>
            <rFont val="Tahoma"/>
            <family val="2"/>
            <charset val="238"/>
          </rPr>
          <t>Klímová Dana:</t>
        </r>
        <r>
          <rPr>
            <sz val="9"/>
            <color indexed="81"/>
            <rFont val="Tahoma"/>
            <family val="2"/>
            <charset val="238"/>
          </rPr>
          <t xml:space="preserve">
169ks</t>
        </r>
      </text>
    </comment>
    <comment ref="G7" authorId="0">
      <text>
        <r>
          <rPr>
            <b/>
            <sz val="9"/>
            <color indexed="81"/>
            <rFont val="Tahoma"/>
            <family val="2"/>
            <charset val="238"/>
          </rPr>
          <t>Klímová Dana:</t>
        </r>
        <r>
          <rPr>
            <sz val="9"/>
            <color indexed="81"/>
            <rFont val="Tahoma"/>
            <family val="2"/>
            <charset val="238"/>
          </rPr>
          <t xml:space="preserve">
144ks</t>
        </r>
      </text>
    </comment>
    <comment ref="E9" authorId="0">
      <text>
        <r>
          <rPr>
            <b/>
            <sz val="9"/>
            <color indexed="81"/>
            <rFont val="Tahoma"/>
            <family val="2"/>
            <charset val="238"/>
          </rPr>
          <t>Klímová Dana:</t>
        </r>
        <r>
          <rPr>
            <sz val="9"/>
            <color indexed="81"/>
            <rFont val="Tahoma"/>
            <family val="2"/>
            <charset val="238"/>
          </rPr>
          <t xml:space="preserve">
3ks</t>
        </r>
      </text>
    </comment>
    <comment ref="G9" authorId="0">
      <text>
        <r>
          <rPr>
            <b/>
            <sz val="9"/>
            <color indexed="81"/>
            <rFont val="Tahoma"/>
            <family val="2"/>
            <charset val="238"/>
          </rPr>
          <t>Klímová Dana:</t>
        </r>
        <r>
          <rPr>
            <sz val="9"/>
            <color indexed="81"/>
            <rFont val="Tahoma"/>
            <family val="2"/>
            <charset val="238"/>
          </rPr>
          <t xml:space="preserve">
3ks</t>
        </r>
      </text>
    </comment>
  </commentList>
</comments>
</file>

<file path=xl/comments3.xml><?xml version="1.0" encoding="utf-8"?>
<comments xmlns="http://schemas.openxmlformats.org/spreadsheetml/2006/main">
  <authors>
    <author>Váňa Stanislav</author>
    <author>Vrána Jan</author>
  </authors>
  <commentList>
    <comment ref="O1" authorId="0">
      <text>
        <r>
          <rPr>
            <b/>
            <sz val="9"/>
            <color indexed="81"/>
            <rFont val="Tahoma"/>
            <family val="2"/>
            <charset val="238"/>
          </rPr>
          <t>Váňa Stanislav:</t>
        </r>
        <r>
          <rPr>
            <sz val="9"/>
            <color indexed="81"/>
            <rFont val="Tahoma"/>
            <family val="2"/>
            <charset val="238"/>
          </rPr>
          <t xml:space="preserve">
pomůcka pro zahrnutí ročních odměn</t>
        </r>
      </text>
    </comment>
    <comment ref="B6" authorId="1">
      <text>
        <r>
          <rPr>
            <sz val="8"/>
            <color indexed="81"/>
            <rFont val="Arial"/>
            <family val="2"/>
            <charset val="238"/>
          </rPr>
          <t>Název subjektu, který inkasuje od odběratelů platby za vodné a za stočné.</t>
        </r>
      </text>
    </comment>
    <comment ref="B7" authorId="1">
      <text>
        <r>
          <rPr>
            <sz val="8"/>
            <color indexed="81"/>
            <rFont val="Arial"/>
            <family val="2"/>
            <charset val="238"/>
          </rPr>
          <t>Název subjektu, který má povolení k provozování infrastruktury uvedené v rozhodnutí příslušného KÚ. IČ uvedeného subjektu.</t>
        </r>
      </text>
    </comment>
    <comment ref="B8" authorId="1">
      <text>
        <r>
          <rPr>
            <sz val="8"/>
            <color indexed="81"/>
            <rFont val="Arial"/>
            <family val="2"/>
            <charset val="238"/>
          </rPr>
          <t>Vlastník infrastruktury vodovodů a kanalizací k jehož provozování má subjekt povolení v řádku II. IČ uvedeného subjektu</t>
        </r>
      </text>
    </comment>
    <comment ref="C8" authorId="0">
      <text>
        <r>
          <rPr>
            <b/>
            <sz val="9"/>
            <color indexed="81"/>
            <rFont val="Tahoma"/>
            <family val="2"/>
            <charset val="238"/>
          </rPr>
          <t>Váňa Stanislav:</t>
        </r>
        <r>
          <rPr>
            <sz val="9"/>
            <color indexed="81"/>
            <rFont val="Tahoma"/>
            <family val="2"/>
            <charset val="238"/>
          </rPr>
          <t xml:space="preserve">
vyber hodnotu</t>
        </r>
      </text>
    </comment>
    <comment ref="B9" authorId="1">
      <text>
        <r>
          <rPr>
            <sz val="8"/>
            <color indexed="81"/>
            <rFont val="Arial"/>
            <family val="2"/>
            <charset val="238"/>
          </rPr>
          <t xml:space="preserve">"Formulář A - Výpočet odběratelské ceny pro vodné a ceny pro stočné roku XXXX"
"Formulář B - Výpočet ceny mezi provozovateli (pitné vody předané a odpadní vody převzaté) pro vodné a ceny pro stočné roku XXXX". U Formuláře B se doplní IČ subjektu nebo subjektů, kterým je pitná voda za vypočtenou (kalkulovanou) cenu dodávána, po případě, od kterých je odpadní voda přebírána.
"Formulář C - jednotkové náklady pro zdroj pitné vody roku XXXX".
"Formulář D - jednotkové náklady pro dopravu pitné vody roku XXXX".
"Formulář E - jednotkové náklady dopravy odpadních vod roku XXXX".
"Formulář F - jednotkové náklady čištění odpadních vod roku XXXX".
Poznámka: formuláře se liší pouze v druhu, nikoliv ve formě zpracování
</t>
        </r>
        <r>
          <rPr>
            <i/>
            <sz val="8"/>
            <color indexed="63"/>
            <rFont val="Arial"/>
            <family val="2"/>
            <charset val="238"/>
          </rPr>
          <t>Pro výpočet cen pro vodné a stočné, zvláště pak výpočet ceny mezi provozovateli je žádoucí znát Dílčí jednotkové náklady zdrojů pitné vody, dopravy pitné vody, dopravy odpadních vod a čistíren odpadních vod. Tyto údaje, za zdroje pitné vody a čisírny odpadních vod jsou povinné údaje pro vybrané údaje provozní evidence VÚPE. Jedná se o formuláře C, D, E a F. Tyto se v rámci "Porovnání" nezasílají na MZE, ale archivují se a slouží provozovateli a kontrolním orgánům. Výsledky formulářů C a F (jednotkové náklady) se uvádí do VÚPE.</t>
        </r>
      </text>
    </comment>
    <comment ref="B10" authorId="1">
      <text>
        <r>
          <rPr>
            <sz val="8"/>
            <color indexed="81"/>
            <rFont val="Arial"/>
            <family val="2"/>
            <charset val="238"/>
          </rPr>
          <t>V případě většího množství jednotlivých výpočtů cen a s tím i formulářů u jednoho vlastníka nebo provozovatele, bude příslušné písmenko formuláře indexováno pořadovým číslem příslušné ceny pro vodné a ceny pro stočné. Neindexovaná písmena formulářů pak budou soutovými formuláři.</t>
        </r>
      </text>
    </comment>
    <comment ref="B11" authorId="1">
      <text>
        <r>
          <rPr>
            <sz val="8"/>
            <color indexed="81"/>
            <rFont val="Arial"/>
            <family val="2"/>
            <charset val="238"/>
          </rPr>
          <t xml:space="preserve">Identifikační číslo provozní evidence, která je zahrnuta nákladově do předmětného výpočtu ceny pro vodné a ceny pro stočné.
</t>
        </r>
        <r>
          <rPr>
            <i/>
            <sz val="8"/>
            <color indexed="63"/>
            <rFont val="Arial"/>
            <family val="2"/>
            <charset val="238"/>
          </rPr>
          <t>IČPE obsahují i IČME.
IČME = identifikační číslo majetkové evidence</t>
        </r>
      </text>
    </comment>
    <comment ref="B18" authorId="1">
      <text>
        <r>
          <rPr>
            <sz val="8"/>
            <color indexed="81"/>
            <rFont val="Arial"/>
            <family val="2"/>
            <charset val="238"/>
          </rPr>
          <t>Skupina podpoložek - součet</t>
        </r>
      </text>
    </comment>
    <comment ref="B19" authorId="1">
      <text>
        <r>
          <rPr>
            <sz val="8"/>
            <color indexed="81"/>
            <rFont val="Arial"/>
            <family val="2"/>
            <charset val="238"/>
          </rPr>
          <t xml:space="preserve">Náklad za skutečné odebrané množství podzemní vody pro zásobování pitnou vodou, nebo platba za nákup povrchové vody pro úpravu na vodu pitnou.
</t>
        </r>
        <r>
          <rPr>
            <i/>
            <sz val="8"/>
            <color indexed="63"/>
            <rFont val="Arial"/>
            <family val="2"/>
            <charset val="238"/>
          </rPr>
          <t>U podzemní vody poplatkem podle zákona č. 254/201 Sb., o vodách, ve znění pozdějších předpisů.</t>
        </r>
      </text>
    </comment>
    <comment ref="B20" authorId="1">
      <text>
        <r>
          <rPr>
            <sz val="8"/>
            <color indexed="81"/>
            <rFont val="Arial"/>
            <family val="2"/>
            <charset val="238"/>
          </rPr>
          <t xml:space="preserve">Náklad u vody pitné (sl. 3 a 4) za nákup pitné vody od jiného provozovatele, nebo náklad u vody odpadní (sl. 6 a 7) za převzetí odpadních vod k jejich převodu a čištění jinými provozovateli. Tyto náklady mohou vzniknout v rámci jednoho provozovatele mezi různými kalkulacemi.
</t>
        </r>
        <r>
          <rPr>
            <i/>
            <sz val="8"/>
            <color indexed="63"/>
            <rFont val="Arial"/>
            <family val="2"/>
            <charset val="238"/>
          </rPr>
          <t>V případě dvousložkové ceny zahrnuje obě složky. U formulářů podle prílohy č. 20 se uvedou v komentáři IČ subjektů, od kterých byla pitná voda převzata (jterým bylo zaplaceno) a u odpadní vody, kterým byla předána (kterým za to bylo zaplaceno).</t>
        </r>
      </text>
    </comment>
    <comment ref="B21" authorId="1">
      <text>
        <r>
          <rPr>
            <sz val="8"/>
            <color indexed="81"/>
            <rFont val="Arial"/>
            <family val="2"/>
            <charset val="238"/>
          </rPr>
          <t xml:space="preserve">Náklad za nákup chemikálií spotřebovaných při výrobě a dodávce pitné vody (sl. 3 a 4) a čištění odpadních vod (sl. 6 a 7)
</t>
        </r>
        <r>
          <rPr>
            <i/>
            <sz val="8"/>
            <color indexed="63"/>
            <rFont val="Arial"/>
            <family val="2"/>
            <charset val="238"/>
          </rPr>
          <t>Chemikálie pro chemické laboratoře se zahrnují do řádku 5.3 - ostatní provozní náklady ve vlastní režii.</t>
        </r>
      </text>
    </comment>
    <comment ref="B22" authorId="1">
      <text>
        <r>
          <rPr>
            <sz val="8"/>
            <color indexed="81"/>
            <rFont val="Arial"/>
            <family val="2"/>
            <charset val="238"/>
          </rPr>
          <t xml:space="preserve">Náklady na materiál spotřebovaný při výrobě. Dále se zde zahrnuje spotřeba vodoměrů s pořizovací cenou do 40 ti.s Kč v závislosti na účetních pravidlech příslušné společnosti (jednorázový nebo postupný odpis).
</t>
        </r>
        <r>
          <rPr>
            <i/>
            <sz val="8"/>
            <color indexed="63"/>
            <rFont val="Arial"/>
            <family val="2"/>
            <charset val="238"/>
          </rPr>
          <t>Nezahrnují se náklady na materiál spotřebovaný při údržbě, opravách a "obnově". Nezahrnuje se zde spotřeba ochranných pomůcek. Ty se vykazují buď v řádku 8 výrobní režie, nebo v rámci hodinových zúčtovacích sazeb při oceňování oprav infrastrukturního majetku - řádek 4.2</t>
        </r>
      </text>
    </comment>
    <comment ref="B23" authorId="1">
      <text>
        <r>
          <rPr>
            <sz val="8"/>
            <color indexed="81"/>
            <rFont val="Arial"/>
            <family val="2"/>
            <charset val="238"/>
          </rPr>
          <t>Skupina podpoložek - součet</t>
        </r>
      </text>
    </comment>
    <comment ref="B24" authorId="1">
      <text>
        <r>
          <rPr>
            <sz val="8"/>
            <color indexed="81"/>
            <rFont val="Arial"/>
            <family val="2"/>
            <charset val="238"/>
          </rPr>
          <t xml:space="preserve">Náklady na elektrickou energii na objektech infrastrukturního majetku.
</t>
        </r>
        <r>
          <rPr>
            <i/>
            <sz val="8"/>
            <color indexed="63"/>
            <rFont val="Arial"/>
            <family val="2"/>
            <charset val="238"/>
          </rPr>
          <t>Náklady na elektrickou energii u provozních středisek a v administrativních budovách se zahrnuje do správní režie.</t>
        </r>
      </text>
    </comment>
    <comment ref="B25" authorId="1">
      <text>
        <r>
          <rPr>
            <sz val="8"/>
            <color indexed="81"/>
            <rFont val="Arial"/>
            <family val="2"/>
            <charset val="238"/>
          </rPr>
          <t xml:space="preserve">Náklady na plyn, teplo, pohonné hmoty (benzin, nafta) a pitnou vodu na objektech infrastrukturního majetku.
</t>
        </r>
        <r>
          <rPr>
            <i/>
            <sz val="8"/>
            <color indexed="63"/>
            <rFont val="Arial"/>
            <family val="2"/>
            <charset val="238"/>
          </rPr>
          <t>Náklady na plyn, teplo a pitnou vodu u provozních středisek a v administrativních budovách se zahrnuje do správní režie.</t>
        </r>
      </text>
    </comment>
    <comment ref="B26" authorId="1">
      <text>
        <r>
          <rPr>
            <sz val="8"/>
            <color indexed="81"/>
            <rFont val="Arial"/>
            <family val="2"/>
            <charset val="238"/>
          </rPr>
          <t>Skupina podpoložek - součet</t>
        </r>
      </text>
    </comment>
    <comment ref="B27" authorId="1">
      <text>
        <r>
          <rPr>
            <sz val="8"/>
            <color indexed="81"/>
            <rFont val="Arial"/>
            <family val="2"/>
            <charset val="238"/>
          </rPr>
          <t xml:space="preserve">Nákladem jsou mzdy včetně náhrady mezd. jedná se o pracovníky pracující na objektech infrastrukturního majeteku (ÚV, při dopravě pitné vody, přepravě odpadních vod ČOV), vztahující se k dané kalkulaci a to i mistrů, vedoucích provozů, plánovaček provozních středisek apod.
</t>
        </r>
        <r>
          <rPr>
            <i/>
            <sz val="8"/>
            <color indexed="63"/>
            <rFont val="Arial"/>
            <family val="2"/>
            <charset val="238"/>
          </rPr>
          <t>Do přímých mezd se nezahrnují mzdy pracovníků, v případě užití takzvaného druhotného okruhu, kdy se mzdy zahrnují přes hodinovou sazbu do řádku 4.2 nebo 5.3.(Obdoba externích služeb)</t>
        </r>
      </text>
    </comment>
    <comment ref="B28" authorId="1">
      <text>
        <r>
          <rPr>
            <sz val="8"/>
            <color indexed="81"/>
            <rFont val="Arial"/>
            <family val="2"/>
            <charset val="238"/>
          </rPr>
          <t>Nákladem jsou vlastní ostatní osobní náklady, tj. dohody o provedení činností, smlouvy o dílo, odovody na sociální a zdravotní pojištění, dále ostatní náklady v souladu s platnými pravidly cenové regulace. - To vše ve vazbě na řádek 3.1 přímé mzdy. U dílčích formlulářů C, D, E, F se náklady uvedou v podílech podle vnitřního předpisu.</t>
        </r>
      </text>
    </comment>
    <comment ref="B29" authorId="1">
      <text>
        <r>
          <rPr>
            <sz val="8"/>
            <color indexed="81"/>
            <rFont val="Arial"/>
            <family val="2"/>
            <charset val="238"/>
          </rPr>
          <t>Skupina podpoložek - součet</t>
        </r>
      </text>
    </comment>
    <comment ref="B30" authorId="1">
      <text>
        <r>
          <rPr>
            <sz val="8"/>
            <color indexed="81"/>
            <rFont val="Arial"/>
            <family val="2"/>
            <charset val="238"/>
          </rPr>
          <t xml:space="preserve">Odpisy zde uvádí vlastníci infrastrukturního majetku vodovodů a kanalizací, pokud majetek nepronajali provozovateli. především se jedná o obce a společnosti smíšené, to jsou vlastníci současně provozující vodovody a kanalizace. provozní společnosti zde uvádějí odpisy v případě realizace technického (ekonomického) zhodnocení infrastrukturního majetku pronajímatele podle § 28 odst. 6 zákona č. 563/1991 Sb. Dále odpisy majetku souvisejícího s infrastrukturním majetkem - odpisy GIS, odpisy dispečinků, jsou-li majetkem vlastníka infrastruktury, odpisy vodoměrů s pořizovací cenou nad 40 tis. Kč, uvádí se i odpisy dalšího technického majetku, např. odpisy přenosných čerpdel, IT techniky, mechanizace atd., pokud je přímo přiřaditelná k dané službě a vlastníkovi a není vykazována v rámci vnitropodnikových převodů.
</t>
        </r>
        <r>
          <rPr>
            <i/>
            <sz val="8"/>
            <color indexed="63"/>
            <rFont val="Arial"/>
            <family val="2"/>
            <charset val="238"/>
          </rPr>
          <t>Neuvádí se zde odpisy provozního majetku - provozní a administrativní budovy ve vlastnictví provozovatele - ty se zahrnují do správní režie. Nezahrnují se odpisy dopravních a mechanizačních prostředk, pokud nejsou ve vlastnictví vlastníka vodovodu nebo kanalizace vzheldem k účelové vazbě ke konkrétnímu infrastrukturnímu majetku a v rámci tohoto majetku jsou také odepisovány. Do kalkulace ceny nelze zahrnout odpisy z infrastrukturního majetku vodovodů nebo kanaliuací nebo jeho částí,pokud byl pořízen z dotačních prostředků.</t>
        </r>
      </text>
    </comment>
    <comment ref="B31" authorId="1">
      <text>
        <r>
          <rPr>
            <sz val="8"/>
            <color indexed="81"/>
            <rFont val="Arial"/>
            <family val="2"/>
            <charset val="238"/>
          </rPr>
          <t xml:space="preserve">Náklady tvoří veškeré opravy infrastrukturního majetku realizované ve vlastní režii i dodavatelsky v souladu se zákonem č. 563/1991 Sb. U oprav ve vlastní režii se jedná nejen o hodnotu vlastních prací, ale i náklady související s náklady na metriál, dopravu a stavební mechanizaci. Opravou nedochází k technickému a ekonomickému zhodnocení hmotného majetku.
</t>
        </r>
        <r>
          <rPr>
            <i/>
            <sz val="8"/>
            <color indexed="63"/>
            <rFont val="Arial"/>
            <family val="2"/>
            <charset val="238"/>
          </rPr>
          <t>Zahrnují se sem i opravy dopravních a mechanizačních prostředků, pokud jsou ve vlastnictví vlastníka vodovodu nebo kanalizace vzhledem k jejich účelové vazbě ke konkrétnímu majetku.</t>
        </r>
      </text>
    </comment>
    <comment ref="B32" authorId="1">
      <text>
        <r>
          <rPr>
            <sz val="8"/>
            <color indexed="81"/>
            <rFont val="Arial"/>
            <family val="2"/>
            <charset val="238"/>
          </rPr>
          <t>Nákladem jsou finanční prostředky hrazené vlastníkovi infrastruktury vodovodu nebo kanalizace nájemcem (provozovatelem)</t>
        </r>
      </text>
    </comment>
    <comment ref="B33" authorId="1">
      <text>
        <r>
          <rPr>
            <sz val="8"/>
            <color indexed="81"/>
            <rFont val="Arial"/>
            <family val="2"/>
            <charset val="238"/>
          </rPr>
          <t>Nákladem jsou prostředky potřebné a vymezené na obnovu infrastrukturního majetku "Plánem financování obnovy vodovodů a kanalizací", umožňující obnovu nad rámec nákladových položek uvedených v položkách 4.1 a 4.2. Jedná se i o ifrastrukturu pořízenou z dotačních prostředků.</t>
        </r>
      </text>
    </comment>
    <comment ref="B34" authorId="1">
      <text>
        <r>
          <rPr>
            <sz val="8"/>
            <color indexed="81"/>
            <rFont val="Arial"/>
            <family val="2"/>
            <charset val="238"/>
          </rPr>
          <t>Skupina podpoložek - součet</t>
        </r>
      </text>
    </comment>
    <comment ref="B35" authorId="1">
      <text>
        <r>
          <rPr>
            <sz val="8"/>
            <color indexed="81"/>
            <rFont val="Arial"/>
            <family val="2"/>
            <charset val="238"/>
          </rPr>
          <t>Nákladem jsou platby jak za vypouštěné znečištění, tak za množství vypouštěných odpadních vod podle jiného právního předpisu.</t>
        </r>
      </text>
    </comment>
    <comment ref="B36" authorId="1">
      <text>
        <r>
          <rPr>
            <sz val="8"/>
            <color indexed="81"/>
            <rFont val="Arial"/>
            <family val="2"/>
            <charset val="238"/>
          </rPr>
          <t>Nákladem jsou ostatní náklady, neuvedené v předchozích řádcích charakteru externích nákladů. Např. likvidace kalů externě, pojištění majetku, pojistné odpovědnosti, laboratorní služby externě, odečty a fakturace vodného a stočného externě, monitorování a čištění kanalizací externí, zahrnuje je i nájem provozního majetku, provozní náklady na GIS externě, údržbu a opravy přípojek ve veřejném prostranství externě, dopravu externě.</t>
        </r>
      </text>
    </comment>
    <comment ref="B37" authorId="1">
      <text>
        <r>
          <rPr>
            <sz val="8"/>
            <color indexed="81"/>
            <rFont val="Arial"/>
            <family val="2"/>
            <charset val="238"/>
          </rPr>
          <t>Nákladem jsou ostatní náklady, neuvedené v předchozích řádcích, pokud mají charakter interních nákladů. Např. laboratorní služby interně, odečty a fakturace vodného a stočného interně, monitorování a čištění kanalizací interně, zahrnuje provozní náklady na Gis interně, údržbu včetně materiálu a opravy přípojek ve veřejném prostranství interně. Spotřeba vody k čištění potrubí. Likvidace kalu, je-li realizována ve vlastní režii.</t>
        </r>
      </text>
    </comment>
    <comment ref="B38" authorId="1">
      <text>
        <r>
          <rPr>
            <sz val="8"/>
            <color indexed="81"/>
            <rFont val="Arial"/>
            <family val="2"/>
            <charset val="238"/>
          </rPr>
          <t xml:space="preserve">Úroky z úvěrů hrazené po uvedení infrastrukturního majetku do užívání, poplatky spojené s účelovými úvěry. Finanční vypořádání rozdílu kalkulací prováděných podle metodiky OPŽP - finanční nástroje.
</t>
        </r>
        <r>
          <rPr>
            <i/>
            <sz val="8"/>
            <color indexed="63"/>
            <rFont val="Arial"/>
            <family val="2"/>
            <charset val="238"/>
          </rPr>
          <t>Nezahrnují se bankovní poplatky (poplatky za přijaté a odeslané platby) a úroky z provozních úvěrů - zahrnují se do správní režie.</t>
        </r>
      </text>
    </comment>
    <comment ref="B39" authorId="1">
      <text>
        <r>
          <rPr>
            <sz val="8"/>
            <color indexed="81"/>
            <rFont val="Arial"/>
            <family val="2"/>
            <charset val="238"/>
          </rPr>
          <t xml:space="preserve">Výnosy tržeb za služby poskytované infrastrukturou, aniž by náklady byly vyčleněny. Např. za čištění dovezených odpadních vod - zpracování dovezeného kalu ze septiků, různé zpracování dovezeného kalu. Výnosy z prodeje elektrické energie získané na objektech infrastrukturního majetku. Finanční vypořádání rozdílu kalkulací prováděných podle metodiky OPŽP - finanční nástroje.
</t>
        </r>
        <r>
          <rPr>
            <i/>
            <sz val="8"/>
            <color indexed="63"/>
            <rFont val="Arial"/>
            <family val="2"/>
            <charset val="238"/>
          </rPr>
          <t>Uvádí se v záporné hodnotě.</t>
        </r>
      </text>
    </comment>
    <comment ref="B40" authorId="1">
      <text>
        <r>
          <rPr>
            <sz val="8"/>
            <color indexed="81"/>
            <rFont val="Arial"/>
            <family val="2"/>
            <charset val="238"/>
          </rPr>
          <t xml:space="preserve">Nákladem jsou odpisy provozního majetku ve vlastnictví provozovatele, opravy na budovách provozních středisek ve vlastnictví provozovatele. Spotřeba energií provozních středisek. Dále dopravní náklady a ostatní náklady spojené s provozními středisky, které mají charakter nepřímých nákladů a souvisejí s výrobními aktivitami.
</t>
        </r>
        <r>
          <rPr>
            <i/>
            <sz val="8"/>
            <color indexed="63"/>
            <rFont val="Arial"/>
            <family val="2"/>
            <charset val="238"/>
          </rPr>
          <t>Opravy dopravních a stavebních prostředků jsou vykazovány v rámci kilometrových nebo hodinových sazeb při opravách.</t>
        </r>
      </text>
    </comment>
    <comment ref="B41" authorId="1">
      <text>
        <r>
          <rPr>
            <sz val="8"/>
            <color indexed="81"/>
            <rFont val="Arial"/>
            <family val="2"/>
            <charset val="238"/>
          </rPr>
          <t xml:space="preserve">Náklady zahrnují odpisy a opravy externí i vlastní na administrativních budovách ve vlastnictví provozovatele, spotřebu materiálů pro řízení a administrativní činnost, spotřebu el. energii, plynu a tepla na provozních střediscích a administrativních nudovách, nájemné z administrativních budov, náklady na spoje a výpočetní techniku, cestovné a dopravu k režijní činnosti, školení pracovníků vedených v režijních činnostech. Náklady na správní režii se uvádějí v podílu, v jakém se zahrnují do kalkulací podle vnitřního předpisu.
</t>
        </r>
        <r>
          <rPr>
            <i/>
            <sz val="8"/>
            <color indexed="63"/>
            <rFont val="Arial"/>
            <family val="2"/>
            <charset val="238"/>
          </rPr>
          <t>Mzdové a ostatní sociální náklady vedené v režijních činnostech (vedení organizace, ekonomické úseky, hospodářská správa apod.) sse uvádějí v řádku 3.1 a 3.2. Podílová režie se použije také v případech, pokud organizace uplatňuje více kalkulací a pokud provádí činnosti nesouvisející s cenou pro vodné a stočné (např. projekční a poradenská činnost včetně inženýrský činnosti při výstavbě, realizace stavebních zakázek, obchodní činnost apod., pokud jde o externí zakázky takového charakteru).</t>
        </r>
      </text>
    </comment>
    <comment ref="B43" authorId="1">
      <text>
        <r>
          <rPr>
            <sz val="8"/>
            <color indexed="81"/>
            <rFont val="Arial"/>
            <family val="2"/>
            <charset val="238"/>
          </rPr>
          <t xml:space="preserve">Uvádí se podle VÚME součtem aktuálních pořizovacích cen všech majetků vodovodů a kanalizací zahrnutých v daných VÚPE, viz řádek VI.
</t>
        </r>
        <r>
          <rPr>
            <i/>
            <sz val="8"/>
            <color indexed="63"/>
            <rFont val="Arial"/>
            <family val="2"/>
            <charset val="238"/>
          </rPr>
          <t>Uvádí se u všech formulářů A a B, to znamená i indexovaných (v případě více cen odběratelských, případně i více cen mezi provozovateli u jednoho provozovatele). Slouží k rámcové kontrole stanovené výše nákladů na obnovu generovaných v ceně pro vodné a ceně pro stočné.</t>
        </r>
      </text>
    </comment>
    <comment ref="B44" authorId="1">
      <text>
        <r>
          <rPr>
            <sz val="8"/>
            <color indexed="81"/>
            <rFont val="Arial"/>
            <family val="2"/>
            <charset val="238"/>
          </rPr>
          <t xml:space="preserve">Podle inventurních listů dosud zcela neodepsaného majetku.
</t>
        </r>
        <r>
          <rPr>
            <i/>
            <sz val="8"/>
            <color indexed="63"/>
            <rFont val="Arial"/>
            <family val="2"/>
            <charset val="238"/>
          </rPr>
          <t>Zůstatková cena majetku sloužícího činnostem, které se posuzují jako oprávněné náklady zahrnutelné do ceny pro vodné a ceny pro stočné. Uvádí se pouze u součtových formulářů A a B. (bez indexu). Rozdělení na A a B se provede přepočtem přes náklady. V případě majetku užíváného i pro jiné činnosti než uvedené v první vět, určí se podíl zahrnutelné zůstatkové ceny v % podle míry využívání k činnostem zahrnutelných do ceny pro vodné a ceny pro stočné.</t>
        </r>
      </text>
    </comment>
    <comment ref="B45" authorId="1">
      <text>
        <r>
          <rPr>
            <sz val="8"/>
            <color indexed="81"/>
            <rFont val="Arial"/>
            <family val="2"/>
            <charset val="238"/>
          </rPr>
          <t xml:space="preserve">Uvádí se počet všech pracovníků tedy včetně managementu.
</t>
        </r>
        <r>
          <rPr>
            <i/>
            <sz val="8"/>
            <color indexed="63"/>
            <rFont val="Arial"/>
            <family val="2"/>
            <charset val="238"/>
          </rPr>
          <t xml:space="preserve">Uvádí se pouze u součtových formulářů A a B. (bez indexu). Rozdělení na A a B se provede přepočtem přes náklady. </t>
        </r>
      </text>
    </comment>
    <comment ref="B46" authorId="1">
      <text>
        <r>
          <rPr>
            <sz val="8"/>
            <color indexed="81"/>
            <rFont val="Arial"/>
            <family val="2"/>
            <charset val="238"/>
          </rPr>
          <t xml:space="preserve">Při výpočtu ceny pro vodné se ve sloupci 3. uvádí množství vody pitné fakturované v předchozím kalendářním roce dosažené (zpravidla množství, které dle aktuální spotřeby bude dosaženo, neboť cena se kalkuluje před ukončením kalendářního roku). Ve sloupci 4. se uvádí množství předpokládané na základě sloupce 3.
</t>
        </r>
        <r>
          <rPr>
            <i/>
            <sz val="8"/>
            <color indexed="63"/>
            <rFont val="Arial"/>
            <family val="2"/>
            <charset val="238"/>
          </rPr>
          <t>Pod pojmem "Voda pitná fakturovaná" rozumíme množství vody  v daném roce dodané, i když je fakturována až v roce následujícím.</t>
        </r>
      </text>
    </comment>
    <comment ref="B47" authorId="1">
      <text>
        <r>
          <rPr>
            <sz val="8"/>
            <color indexed="81"/>
            <rFont val="Arial"/>
            <family val="2"/>
            <charset val="238"/>
          </rPr>
          <t xml:space="preserve">Obdobně jako v řádku D,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48" authorId="1">
      <text>
        <r>
          <rPr>
            <sz val="8"/>
            <color indexed="81"/>
            <rFont val="Arial"/>
            <family val="2"/>
            <charset val="238"/>
          </rPr>
          <t xml:space="preserve">Při výpočtu ceny pro stočné se ve sloupci 6. uvádí množství odpadní vody fakturované v předchozím kalendářním roce dosažené (zpravidla množství, které dle aktuální spotřeby bude dosaženo, neboť cena se kalkuluje před ukončením kalendářního roku). Ve sloupci 7. se uvádí množství předpokládané na základě sloupce 6.
</t>
        </r>
        <r>
          <rPr>
            <i/>
            <sz val="8"/>
            <color indexed="63"/>
            <rFont val="Arial"/>
            <family val="2"/>
            <charset val="238"/>
          </rPr>
          <t>Pod pojmem "Voda odpadní odváděná fakturovaná" rozumíme množství odpadní vody  v daném roce odvedené, i když je fakturována až v roce následujícím.</t>
        </r>
      </text>
    </comment>
    <comment ref="B49" authorId="1">
      <text>
        <r>
          <rPr>
            <sz val="8"/>
            <color indexed="81"/>
            <rFont val="Arial"/>
            <family val="2"/>
            <charset val="238"/>
          </rPr>
          <t xml:space="preserve">Obdobně jako v řádku F,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50" authorId="1">
      <text>
        <r>
          <rPr>
            <sz val="8"/>
            <color indexed="81"/>
            <rFont val="Arial"/>
            <family val="2"/>
            <charset val="238"/>
          </rPr>
          <t xml:space="preserve">Veškerá fakturovaná srážková voda pro kalendářní rok.
</t>
        </r>
        <r>
          <rPr>
            <i/>
            <sz val="8"/>
            <color indexed="63"/>
            <rFont val="Arial"/>
            <family val="2"/>
            <charset val="238"/>
          </rPr>
          <t>Vzhledem k tomu, že se jedná o výpočtové množství, lze tuto hodnotu uvádět ne jako předpoklad, ale jako skutečné množství fakturované.</t>
        </r>
      </text>
    </comment>
    <comment ref="B51" authorId="1">
      <text>
        <r>
          <rPr>
            <sz val="8"/>
            <color indexed="81"/>
            <rFont val="Arial"/>
            <family val="2"/>
            <charset val="238"/>
          </rPr>
          <t xml:space="preserve">Jedná se o množství odtékájící z čistírny odpadních vod do vod povrchových. Při výpočtu ceny se jedná o množství předpokládaná.
</t>
        </r>
        <r>
          <rPr>
            <i/>
            <sz val="8"/>
            <color indexed="63"/>
            <rFont val="Arial"/>
            <family val="2"/>
            <charset val="238"/>
          </rPr>
          <t>Údaj slouží kontrolním orgánům.</t>
        </r>
      </text>
    </comment>
    <comment ref="B52" authorId="1">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 ref="B53" authorId="1">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List>
</comments>
</file>

<file path=xl/sharedStrings.xml><?xml version="1.0" encoding="utf-8"?>
<sst xmlns="http://schemas.openxmlformats.org/spreadsheetml/2006/main" count="525" uniqueCount="201">
  <si>
    <t>Návrh ceny pro vodné a stočné</t>
  </si>
  <si>
    <t>do tohoto řádku (v úvodním listu) je možné doplnit další text (např. variantu)</t>
  </si>
  <si>
    <t>sazba DPH</t>
  </si>
  <si>
    <t>rok</t>
  </si>
  <si>
    <t>p. měsíců</t>
  </si>
  <si>
    <t>skutečnost od</t>
  </si>
  <si>
    <t>skutečnost do</t>
  </si>
  <si>
    <t>počet měsíců</t>
  </si>
  <si>
    <t>zahrnut listopad?</t>
  </si>
  <si>
    <t>Tabulka č. 1</t>
  </si>
  <si>
    <t>I</t>
  </si>
  <si>
    <t>Příjemce vodného a stočného</t>
  </si>
  <si>
    <t>ČEVAK a.s.</t>
  </si>
  <si>
    <t>II</t>
  </si>
  <si>
    <t>Provozovatel - název a IČ</t>
  </si>
  <si>
    <t>60849657</t>
  </si>
  <si>
    <t>III</t>
  </si>
  <si>
    <t>Vlastník - název a IČ</t>
  </si>
  <si>
    <t>Stádlec</t>
  </si>
  <si>
    <t>00252930</t>
  </si>
  <si>
    <t>IV</t>
  </si>
  <si>
    <t>Formulář A až F</t>
  </si>
  <si>
    <t>A47</t>
  </si>
  <si>
    <t>V</t>
  </si>
  <si>
    <t>Index 1 až x</t>
  </si>
  <si>
    <t>VI</t>
  </si>
  <si>
    <t>IČPE související s cenou</t>
  </si>
  <si>
    <t>Řádek</t>
  </si>
  <si>
    <t>Náklady pro výpočet ceny pro vodné a stočné</t>
  </si>
  <si>
    <t>Nákladové položky</t>
  </si>
  <si>
    <t>Měrná jednotka</t>
  </si>
  <si>
    <t>Voda pitná</t>
  </si>
  <si>
    <t>Voda odpadní</t>
  </si>
  <si>
    <t>Kalkul.</t>
  </si>
  <si>
    <t>2a</t>
  </si>
  <si>
    <t>1.</t>
  </si>
  <si>
    <t>Materiál</t>
  </si>
  <si>
    <t>Kč</t>
  </si>
  <si>
    <t>1.1</t>
  </si>
  <si>
    <t>- surová voda podzemní + povrchová</t>
  </si>
  <si>
    <t>1.2</t>
  </si>
  <si>
    <t>- pitná voda převzatá + odpadní voda předaná k čištění</t>
  </si>
  <si>
    <t>1.3</t>
  </si>
  <si>
    <t>- chemikálie</t>
  </si>
  <si>
    <t>1.4</t>
  </si>
  <si>
    <t>- ostatní materiál</t>
  </si>
  <si>
    <t>PHM (1.4.2)</t>
  </si>
  <si>
    <t>2.</t>
  </si>
  <si>
    <t>Energie</t>
  </si>
  <si>
    <t>2.1</t>
  </si>
  <si>
    <t>- elektrická energie</t>
  </si>
  <si>
    <t>2.2</t>
  </si>
  <si>
    <t>- ostatní energie (plyn, pevná a kapalná energie)</t>
  </si>
  <si>
    <t>Mzdy</t>
  </si>
  <si>
    <t>3.1</t>
  </si>
  <si>
    <t>- přímé a režijní mzdy</t>
  </si>
  <si>
    <t>3.2</t>
  </si>
  <si>
    <t>- ostatní osobní náklady</t>
  </si>
  <si>
    <t>Ostatní přímé náklady</t>
  </si>
  <si>
    <t>4.1</t>
  </si>
  <si>
    <t>- odpisy</t>
  </si>
  <si>
    <t>4.2</t>
  </si>
  <si>
    <t>- opravy infrastrukturního majetku</t>
  </si>
  <si>
    <t>4.3</t>
  </si>
  <si>
    <t>- nájem infrastrukturního majetku</t>
  </si>
  <si>
    <t>4.4</t>
  </si>
  <si>
    <t>- prostředky obnovy infrastrukturního majetku</t>
  </si>
  <si>
    <t>Provozní náklady</t>
  </si>
  <si>
    <t>5.1</t>
  </si>
  <si>
    <t>- poplatky za vypouštení odpadních vod</t>
  </si>
  <si>
    <t>5.2</t>
  </si>
  <si>
    <t>- ostatní provozní náklady externí</t>
  </si>
  <si>
    <t>5.3</t>
  </si>
  <si>
    <t>- ostatní provozní náklady ve vlastní režii</t>
  </si>
  <si>
    <t>Finanční náklady</t>
  </si>
  <si>
    <t>Ostatní výnosy</t>
  </si>
  <si>
    <t>Výrobní režie</t>
  </si>
  <si>
    <t>Správní režie</t>
  </si>
  <si>
    <t xml:space="preserve">Úplné vlastní náklady vč. prostředků na obnovu </t>
  </si>
  <si>
    <t>Kontroly</t>
  </si>
  <si>
    <t>vodné</t>
  </si>
  <si>
    <t>stočné</t>
  </si>
  <si>
    <t>A</t>
  </si>
  <si>
    <t>Hodnota souvisejícího infrastrukt. majetku podle VÚME</t>
  </si>
  <si>
    <t>7% meziroční navýšení zisku</t>
  </si>
  <si>
    <t>B</t>
  </si>
  <si>
    <t>Pořizovací cena souvis. provozního hmotného majetku</t>
  </si>
  <si>
    <t>C</t>
  </si>
  <si>
    <t>Počet pracovníků</t>
  </si>
  <si>
    <t>osob</t>
  </si>
  <si>
    <t>PZNK dohoda 2020</t>
  </si>
  <si>
    <t>OK</t>
  </si>
  <si>
    <t>D</t>
  </si>
  <si>
    <t>Voda pitná fakturovaná</t>
  </si>
  <si>
    <r>
      <t>m</t>
    </r>
    <r>
      <rPr>
        <vertAlign val="superscript"/>
        <sz val="9"/>
        <color indexed="8"/>
        <rFont val="Arial"/>
        <family val="2"/>
        <charset val="238"/>
      </rPr>
      <t>3</t>
    </r>
  </si>
  <si>
    <t>E</t>
  </si>
  <si>
    <t>- z toho domácnosti</t>
  </si>
  <si>
    <t>F</t>
  </si>
  <si>
    <t>Voda odpadní odváděná fakturovaná</t>
  </si>
  <si>
    <t>G</t>
  </si>
  <si>
    <t>H</t>
  </si>
  <si>
    <t>Voda srážková fakturovaná</t>
  </si>
  <si>
    <t>Voda odpadní čištěná</t>
  </si>
  <si>
    <t>J</t>
  </si>
  <si>
    <t>Pitná nebo odpadní voda převzatá</t>
  </si>
  <si>
    <t>K</t>
  </si>
  <si>
    <t>Pitná nebo odpadní voda předaná</t>
  </si>
  <si>
    <t>Pozn.:</t>
  </si>
  <si>
    <t>Náklady se uvádějí v Kč</t>
  </si>
  <si>
    <t>Řádky A a B se uvádějí v Kč</t>
  </si>
  <si>
    <t>VÚME = vybrané údaje majetkové evidence</t>
  </si>
  <si>
    <t>Tabulka č. 2</t>
  </si>
  <si>
    <t>Kalkulovaná cena pro vodné a pro stočné</t>
  </si>
  <si>
    <t>Text</t>
  </si>
  <si>
    <t>4a</t>
  </si>
  <si>
    <t>7a</t>
  </si>
  <si>
    <t>11.</t>
  </si>
  <si>
    <t>JEDNOTKOVÉ NÁKLADY vč. prostředků na obnovu</t>
  </si>
  <si>
    <r>
      <t>Kč / m</t>
    </r>
    <r>
      <rPr>
        <vertAlign val="superscript"/>
        <sz val="9"/>
        <color indexed="30"/>
        <rFont val="Arial"/>
        <family val="2"/>
        <charset val="238"/>
      </rPr>
      <t>3</t>
    </r>
  </si>
  <si>
    <t>12.</t>
  </si>
  <si>
    <t>ÚVN včetně prostředků na obnovu</t>
  </si>
  <si>
    <t>13.</t>
  </si>
  <si>
    <t>Kalkulační zisk</t>
  </si>
  <si>
    <t>14.</t>
  </si>
  <si>
    <t>- podíl kalkulačního zisku z ÚVN (orientační ukazatel)</t>
  </si>
  <si>
    <t>%</t>
  </si>
  <si>
    <t>15.</t>
  </si>
  <si>
    <t>- z řádku 13 na rozvoj a obnovu infrastrukturního majetku</t>
  </si>
  <si>
    <t>16.</t>
  </si>
  <si>
    <t>Celkem ÚVN včetně prostředků na obnovu + zisk</t>
  </si>
  <si>
    <t>17.</t>
  </si>
  <si>
    <t>Voda fakturovaná pitná, odpadní + srážková</t>
  </si>
  <si>
    <t>m3</t>
  </si>
  <si>
    <t>18.</t>
  </si>
  <si>
    <t>CENA pro vodné, stočné</t>
  </si>
  <si>
    <t>19.</t>
  </si>
  <si>
    <t>CENA pro vodné, stočné + DPH</t>
  </si>
  <si>
    <t>20. a)</t>
  </si>
  <si>
    <r>
      <t>Meziroční změna ceny (v Kč/m</t>
    </r>
    <r>
      <rPr>
        <b/>
        <vertAlign val="superscript"/>
        <sz val="9"/>
        <color rgb="FF0070C0"/>
        <rFont val="Arial"/>
        <family val="2"/>
        <charset val="238"/>
      </rPr>
      <t>3</t>
    </r>
    <r>
      <rPr>
        <b/>
        <sz val="9"/>
        <color rgb="FF0070C0"/>
        <rFont val="Arial"/>
        <family val="2"/>
        <charset val="238"/>
      </rPr>
      <t xml:space="preserve"> bez DPH)</t>
    </r>
  </si>
  <si>
    <t>20. b)</t>
  </si>
  <si>
    <t>Meziroční změna ceny (v %)</t>
  </si>
  <si>
    <t>formy vodného a stočného</t>
  </si>
  <si>
    <t>Tabulka č. 3</t>
  </si>
  <si>
    <t>Kalkulovaná cena pro vodné a pro stočné při dvousložkové formě</t>
  </si>
  <si>
    <t>4b</t>
  </si>
  <si>
    <t>7b</t>
  </si>
  <si>
    <t>21.</t>
  </si>
  <si>
    <t>Pevná složka - (ÚVN + zisk)</t>
  </si>
  <si>
    <t>21.a</t>
  </si>
  <si>
    <t>- podíl z celkových ÚVN a zisku</t>
  </si>
  <si>
    <t>22.</t>
  </si>
  <si>
    <t>Pohyblivá složka - (ÚVN + zisk)</t>
  </si>
  <si>
    <t>22.a</t>
  </si>
  <si>
    <t>- z toho: ÚVN</t>
  </si>
  <si>
    <t>22.b</t>
  </si>
  <si>
    <r>
      <rPr>
        <sz val="9"/>
        <color indexed="9"/>
        <rFont val="Arial"/>
        <family val="2"/>
        <charset val="238"/>
      </rPr>
      <t>- z toho:</t>
    </r>
    <r>
      <rPr>
        <sz val="9"/>
        <rFont val="Arial"/>
        <family val="2"/>
        <charset val="238"/>
      </rPr>
      <t xml:space="preserve"> kalkulační zisk</t>
    </r>
  </si>
  <si>
    <t>23.</t>
  </si>
  <si>
    <t>Cena pohyblivé složky</t>
  </si>
  <si>
    <t>24.</t>
  </si>
  <si>
    <t>Cena pohyblivé složky + DPH</t>
  </si>
  <si>
    <t>25. a)</t>
  </si>
  <si>
    <t>Meziroční změna ceny (v Kč/m3 bez DPH)</t>
  </si>
  <si>
    <t>25. b)</t>
  </si>
  <si>
    <t>26.</t>
  </si>
  <si>
    <t xml:space="preserve">Technické parametry pevné složky podle § 33 odst. 1  vyhlášky (a, b, c) </t>
  </si>
  <si>
    <t>a</t>
  </si>
  <si>
    <t xml:space="preserve">Návrh stanovení pevné složky vodného a stočného dle jednotlivých kategorií  </t>
  </si>
  <si>
    <t>podle hodnoty trvalého průtoku vodoměru (bez DPH) v Kč</t>
  </si>
  <si>
    <t>Kategorie vodoměrů</t>
  </si>
  <si>
    <t>celkem</t>
  </si>
  <si>
    <t>CH</t>
  </si>
  <si>
    <t>pevná složka stočného z jiných zdrojů:</t>
  </si>
  <si>
    <r>
      <t>Kč / m</t>
    </r>
    <r>
      <rPr>
        <vertAlign val="superscript"/>
        <sz val="9"/>
        <rFont val="Arial"/>
        <family val="2"/>
        <charset val="238"/>
      </rPr>
      <t>3</t>
    </r>
  </si>
  <si>
    <t>Vliv nárůstu ceny vody převzaté z JVS:</t>
  </si>
  <si>
    <t>rozdíl</t>
  </si>
  <si>
    <t>voda převzatá v m3</t>
  </si>
  <si>
    <t>cena pohyblivé složky</t>
  </si>
  <si>
    <t>pohyblivá složka celkem</t>
  </si>
  <si>
    <t>pevná složka</t>
  </si>
  <si>
    <t>voda převzatá v Kč celkem</t>
  </si>
  <si>
    <t>Vývoj cen pro vodné a stočné v Kč/m3 bez DPH</t>
  </si>
  <si>
    <t>pohyblivá cena pro vodné (v Kč/m3) (JSC)</t>
  </si>
  <si>
    <t>pevná složka pro VDM kat. "A"</t>
  </si>
  <si>
    <t>pohyblivá cena pro stočné (v Kč/m3) (JSC)</t>
  </si>
  <si>
    <t>celkem V+S</t>
  </si>
  <si>
    <t>meziroční změna ceny (v Kč/m3)</t>
  </si>
  <si>
    <t>meziroční změna ceny (v %)</t>
  </si>
  <si>
    <t>Info:</t>
  </si>
  <si>
    <t>PV</t>
  </si>
  <si>
    <t>DSC + 1,- Kč/m3, paušály zachovány</t>
  </si>
  <si>
    <t>fakturace + 400 m3</t>
  </si>
  <si>
    <t xml:space="preserve">voda převzatá + 10.300,-Kč </t>
  </si>
  <si>
    <t>ost.mat. + 10 %</t>
  </si>
  <si>
    <t>mzdy + 3,5 %</t>
  </si>
  <si>
    <t>nájemné + 6.100,- Kč</t>
  </si>
  <si>
    <t>režie  + 0,08 Kč/m3</t>
  </si>
  <si>
    <t>OV</t>
  </si>
  <si>
    <t>DSC + 1,50Kč/m3 , paušály zachovány</t>
  </si>
  <si>
    <t>fakturace na úrovni 2021</t>
  </si>
  <si>
    <t>nájemné + 44.160,- Kč</t>
  </si>
  <si>
    <t>režie + 0,08 Kč/m3</t>
  </si>
</sst>
</file>

<file path=xl/styles.xml><?xml version="1.0" encoding="utf-8"?>
<styleSheet xmlns="http://schemas.openxmlformats.org/spreadsheetml/2006/main">
  <numFmts count="3">
    <numFmt numFmtId="164" formatCode="00000000"/>
    <numFmt numFmtId="165" formatCode="#,##0_ ;[Red]\-#,##0\ "/>
    <numFmt numFmtId="166" formatCode="#,##0.00_ ;[Red]\-#,##0.00\ "/>
  </numFmts>
  <fonts count="19">
    <font>
      <sz val="11"/>
      <color theme="1"/>
      <name val="Calibri"/>
      <family val="2"/>
      <charset val="238"/>
      <scheme val="minor"/>
    </font>
    <font>
      <b/>
      <sz val="11"/>
      <color theme="1"/>
      <name val="Calibri"/>
      <family val="2"/>
      <charset val="238"/>
      <scheme val="minor"/>
    </font>
    <font>
      <b/>
      <sz val="24"/>
      <color theme="1"/>
      <name val="Calibri"/>
      <family val="2"/>
      <charset val="238"/>
      <scheme val="minor"/>
    </font>
    <font>
      <sz val="9"/>
      <color theme="1"/>
      <name val="Arial"/>
      <family val="2"/>
      <charset val="238"/>
    </font>
    <font>
      <sz val="9"/>
      <color rgb="FF0070C0"/>
      <name val="Arial"/>
      <family val="2"/>
      <charset val="238"/>
    </font>
    <font>
      <b/>
      <sz val="9"/>
      <color rgb="FF0070C0"/>
      <name val="Arial"/>
      <family val="2"/>
      <charset val="238"/>
    </font>
    <font>
      <sz val="9"/>
      <name val="Arial"/>
      <family val="2"/>
      <charset val="238"/>
    </font>
    <font>
      <b/>
      <sz val="9"/>
      <color theme="1"/>
      <name val="Arial"/>
      <family val="2"/>
      <charset val="238"/>
    </font>
    <font>
      <vertAlign val="superscript"/>
      <sz val="9"/>
      <color indexed="8"/>
      <name val="Arial"/>
      <family val="2"/>
      <charset val="238"/>
    </font>
    <font>
      <vertAlign val="superscript"/>
      <sz val="9"/>
      <color indexed="30"/>
      <name val="Arial"/>
      <family val="2"/>
      <charset val="238"/>
    </font>
    <font>
      <b/>
      <vertAlign val="superscript"/>
      <sz val="9"/>
      <color rgb="FF0070C0"/>
      <name val="Arial"/>
      <family val="2"/>
      <charset val="238"/>
    </font>
    <font>
      <sz val="9"/>
      <color indexed="9"/>
      <name val="Arial"/>
      <family val="2"/>
      <charset val="238"/>
    </font>
    <font>
      <b/>
      <sz val="9"/>
      <color indexed="81"/>
      <name val="Tahoma"/>
      <family val="2"/>
      <charset val="238"/>
    </font>
    <font>
      <sz val="9"/>
      <color indexed="81"/>
      <name val="Tahoma"/>
      <family val="2"/>
      <charset val="238"/>
    </font>
    <font>
      <sz val="8"/>
      <color indexed="81"/>
      <name val="Arial"/>
      <family val="2"/>
      <charset val="238"/>
    </font>
    <font>
      <i/>
      <sz val="8"/>
      <color indexed="63"/>
      <name val="Arial"/>
      <family val="2"/>
      <charset val="238"/>
    </font>
    <font>
      <i/>
      <sz val="8"/>
      <color indexed="81"/>
      <name val="Arial"/>
      <family val="2"/>
      <charset val="238"/>
    </font>
    <font>
      <b/>
      <sz val="9"/>
      <name val="Arial"/>
      <family val="2"/>
      <charset val="238"/>
    </font>
    <font>
      <vertAlign val="superscript"/>
      <sz val="9"/>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0" fillId="2" borderId="0" xfId="0" applyFill="1"/>
    <xf numFmtId="0" fontId="0" fillId="0" borderId="0" xfId="0" applyFill="1"/>
    <xf numFmtId="0" fontId="3" fillId="0" borderId="0" xfId="0" applyFont="1" applyAlignment="1">
      <alignment vertical="center"/>
    </xf>
    <xf numFmtId="0" fontId="3" fillId="0" borderId="0" xfId="0" applyFont="1" applyAlignment="1">
      <alignment horizontal="right" vertical="center" indent="1"/>
    </xf>
    <xf numFmtId="0" fontId="3" fillId="0" borderId="0" xfId="0" applyFont="1" applyAlignment="1">
      <alignment horizontal="center" vertical="center"/>
    </xf>
    <xf numFmtId="9" fontId="3" fillId="3" borderId="0" xfId="0" applyNumberFormat="1" applyFont="1" applyFill="1" applyAlignment="1">
      <alignment horizontal="center" vertical="center"/>
    </xf>
    <xf numFmtId="0" fontId="3" fillId="3" borderId="0" xfId="0" applyNumberFormat="1" applyFont="1" applyFill="1" applyAlignment="1">
      <alignment horizontal="center" vertical="center"/>
    </xf>
    <xf numFmtId="0" fontId="3" fillId="4" borderId="0" xfId="0" applyNumberFormat="1" applyFont="1" applyFill="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left" vertical="center" indent="1"/>
    </xf>
    <xf numFmtId="0" fontId="3" fillId="0" borderId="3" xfId="0" applyFont="1" applyBorder="1" applyAlignment="1">
      <alignment horizontal="left" vertical="center" indent="1"/>
    </xf>
    <xf numFmtId="49" fontId="3" fillId="0" borderId="4" xfId="0" applyNumberFormat="1" applyFont="1" applyBorder="1" applyAlignment="1">
      <alignment horizontal="center" vertical="center"/>
    </xf>
    <xf numFmtId="0" fontId="3" fillId="3" borderId="3" xfId="0" applyFont="1" applyFill="1" applyBorder="1" applyAlignment="1">
      <alignment horizontal="left" vertical="center" indent="1"/>
    </xf>
    <xf numFmtId="164" fontId="3" fillId="3" borderId="4" xfId="0" applyNumberFormat="1"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left" vertical="center" indent="1"/>
    </xf>
    <xf numFmtId="0" fontId="5" fillId="0" borderId="1" xfId="0" applyFont="1" applyBorder="1" applyAlignment="1">
      <alignment horizontal="center" vertical="center"/>
    </xf>
    <xf numFmtId="165" fontId="5" fillId="0" borderId="1" xfId="0" applyNumberFormat="1" applyFont="1" applyBorder="1" applyAlignment="1">
      <alignment vertical="center"/>
    </xf>
    <xf numFmtId="0" fontId="4" fillId="0" borderId="0" xfId="0" applyFont="1" applyAlignment="1">
      <alignment vertical="center"/>
    </xf>
    <xf numFmtId="49" fontId="3" fillId="0" borderId="1" xfId="0" applyNumberFormat="1" applyFont="1" applyBorder="1" applyAlignment="1">
      <alignment horizontal="left" vertical="center" indent="1"/>
    </xf>
    <xf numFmtId="165" fontId="6" fillId="0" borderId="1" xfId="0" applyNumberFormat="1" applyFont="1" applyBorder="1" applyAlignment="1">
      <alignment vertical="center"/>
    </xf>
    <xf numFmtId="49" fontId="3" fillId="0" borderId="1" xfId="0" applyNumberFormat="1" applyFont="1" applyBorder="1" applyAlignment="1">
      <alignment horizontal="left" vertical="center" wrapText="1" indent="1"/>
    </xf>
    <xf numFmtId="3" fontId="3" fillId="5" borderId="0" xfId="0" applyNumberFormat="1" applyFont="1" applyFill="1" applyAlignment="1">
      <alignment vertical="center"/>
    </xf>
    <xf numFmtId="0" fontId="4" fillId="0" borderId="1" xfId="0" applyFont="1" applyBorder="1" applyAlignment="1">
      <alignment horizontal="left" vertical="center" indent="1"/>
    </xf>
    <xf numFmtId="0" fontId="7" fillId="0" borderId="0" xfId="0" applyFont="1" applyAlignment="1">
      <alignment vertical="center"/>
    </xf>
    <xf numFmtId="49" fontId="5" fillId="0" borderId="1" xfId="0" applyNumberFormat="1" applyFont="1" applyBorder="1" applyAlignment="1">
      <alignment horizontal="left" vertical="center" inden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166" fontId="5" fillId="0" borderId="1" xfId="0" applyNumberFormat="1" applyFont="1" applyBorder="1" applyAlignment="1">
      <alignment horizontal="center" vertical="center"/>
    </xf>
    <xf numFmtId="0" fontId="6" fillId="0" borderId="1" xfId="0" applyFont="1" applyBorder="1" applyAlignment="1">
      <alignment horizontal="left" vertical="center" indent="1"/>
    </xf>
    <xf numFmtId="49" fontId="6" fillId="0" borderId="1" xfId="0" applyNumberFormat="1" applyFont="1" applyBorder="1" applyAlignment="1">
      <alignment horizontal="left" vertical="center" indent="1"/>
    </xf>
    <xf numFmtId="0" fontId="6" fillId="0" borderId="1" xfId="0" applyFont="1" applyBorder="1" applyAlignment="1">
      <alignment horizontal="center" vertical="center"/>
    </xf>
    <xf numFmtId="166" fontId="6" fillId="0" borderId="1" xfId="0" applyNumberFormat="1" applyFont="1" applyBorder="1" applyAlignment="1">
      <alignment vertical="center"/>
    </xf>
    <xf numFmtId="166" fontId="7" fillId="0" borderId="0" xfId="0" applyNumberFormat="1" applyFont="1" applyAlignment="1">
      <alignment vertical="center"/>
    </xf>
    <xf numFmtId="10" fontId="5" fillId="0" borderId="1" xfId="0" applyNumberFormat="1" applyFont="1" applyBorder="1" applyAlignment="1">
      <alignment horizontal="center" vertical="center"/>
    </xf>
    <xf numFmtId="0" fontId="5" fillId="0" borderId="21" xfId="0" applyFont="1" applyBorder="1" applyAlignment="1">
      <alignment horizontal="left" vertical="center" indent="1"/>
    </xf>
    <xf numFmtId="0" fontId="5" fillId="0" borderId="21" xfId="0" applyFont="1" applyBorder="1" applyAlignment="1">
      <alignment horizontal="center" vertical="center"/>
    </xf>
    <xf numFmtId="166" fontId="5" fillId="0" borderId="21" xfId="0" applyNumberFormat="1" applyFont="1" applyBorder="1" applyAlignment="1">
      <alignment horizontal="center" vertical="center"/>
    </xf>
    <xf numFmtId="0" fontId="5" fillId="0" borderId="19" xfId="0" applyFont="1" applyBorder="1" applyAlignment="1">
      <alignment horizontal="left" vertical="center" indent="1"/>
    </xf>
    <xf numFmtId="0" fontId="6" fillId="0" borderId="0" xfId="0" applyFont="1"/>
    <xf numFmtId="0" fontId="6" fillId="0" borderId="22" xfId="0" applyFont="1" applyBorder="1" applyAlignment="1">
      <alignment horizontal="center" vertical="center"/>
    </xf>
    <xf numFmtId="165" fontId="17" fillId="0" borderId="22" xfId="0" applyNumberFormat="1" applyFont="1" applyBorder="1" applyAlignment="1">
      <alignment vertical="center"/>
    </xf>
    <xf numFmtId="165" fontId="6" fillId="0" borderId="22" xfId="0" applyNumberFormat="1" applyFont="1" applyBorder="1" applyAlignment="1">
      <alignment vertical="center"/>
    </xf>
    <xf numFmtId="0" fontId="6" fillId="0" borderId="0" xfId="0" applyFont="1" applyAlignment="1">
      <alignment horizontal="right" vertical="center" indent="2"/>
    </xf>
    <xf numFmtId="166" fontId="17" fillId="0" borderId="22" xfId="0" applyNumberFormat="1" applyFont="1" applyBorder="1" applyAlignment="1">
      <alignment horizontal="center" vertical="center"/>
    </xf>
    <xf numFmtId="165" fontId="6" fillId="4" borderId="0" xfId="0" applyNumberFormat="1" applyFont="1" applyFill="1"/>
    <xf numFmtId="0" fontId="6" fillId="0" borderId="0" xfId="0" applyFont="1" applyAlignment="1">
      <alignment vertical="center"/>
    </xf>
    <xf numFmtId="0" fontId="1" fillId="0" borderId="0" xfId="0" applyFont="1"/>
    <xf numFmtId="0" fontId="1" fillId="0" borderId="0" xfId="0" applyFont="1" applyAlignment="1">
      <alignment horizontal="center"/>
    </xf>
    <xf numFmtId="3" fontId="0" fillId="0" borderId="0" xfId="0" applyNumberFormat="1"/>
    <xf numFmtId="4" fontId="0" fillId="0" borderId="0" xfId="0" applyNumberFormat="1"/>
    <xf numFmtId="3" fontId="0" fillId="0" borderId="0" xfId="0" applyNumberFormat="1" applyFill="1"/>
    <xf numFmtId="0" fontId="1" fillId="0" borderId="0" xfId="0" applyFont="1" applyAlignment="1">
      <alignment horizontal="right" wrapText="1"/>
    </xf>
    <xf numFmtId="2" fontId="0" fillId="0" borderId="0" xfId="0" applyNumberFormat="1"/>
    <xf numFmtId="2" fontId="0" fillId="0" borderId="0" xfId="0" applyNumberFormat="1" applyFill="1"/>
    <xf numFmtId="2" fontId="1" fillId="0" borderId="0" xfId="0" applyNumberFormat="1" applyFont="1"/>
    <xf numFmtId="10" fontId="0" fillId="0" borderId="0" xfId="0" applyNumberFormat="1"/>
    <xf numFmtId="0" fontId="4"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indent="1"/>
    </xf>
    <xf numFmtId="0" fontId="6" fillId="0" borderId="0" xfId="0" applyFont="1" applyAlignment="1">
      <alignment horizontal="center" vertical="center"/>
    </xf>
    <xf numFmtId="9" fontId="6" fillId="3" borderId="0" xfId="0" applyNumberFormat="1" applyFont="1" applyFill="1" applyAlignment="1">
      <alignment horizontal="center" vertical="center"/>
    </xf>
    <xf numFmtId="0" fontId="6" fillId="3" borderId="0" xfId="0" applyNumberFormat="1" applyFont="1" applyFill="1" applyAlignment="1">
      <alignment horizontal="center" vertical="center"/>
    </xf>
    <xf numFmtId="0" fontId="6" fillId="4" borderId="0" xfId="0" applyNumberFormat="1" applyFont="1" applyFill="1" applyAlignment="1">
      <alignment horizontal="center" vertical="center"/>
    </xf>
    <xf numFmtId="165" fontId="6" fillId="0" borderId="0" xfId="0" applyNumberFormat="1" applyFont="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7" fillId="0" borderId="0" xfId="0" applyFont="1" applyAlignment="1">
      <alignment vertical="center"/>
    </xf>
    <xf numFmtId="166" fontId="17" fillId="0" borderId="0" xfId="0" applyNumberFormat="1" applyFont="1" applyAlignment="1">
      <alignment vertical="center"/>
    </xf>
    <xf numFmtId="0" fontId="2" fillId="2" borderId="0" xfId="0" applyFont="1" applyFill="1" applyAlignment="1">
      <alignment horizontal="center" vertical="center" wrapText="1"/>
    </xf>
    <xf numFmtId="0" fontId="3" fillId="0" borderId="2" xfId="0" applyFont="1"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3" fillId="0" borderId="0" xfId="0" applyFont="1" applyAlignment="1">
      <alignment horizontal="center" vertical="center"/>
    </xf>
    <xf numFmtId="0" fontId="3" fillId="0" borderId="1" xfId="0" applyFont="1" applyBorder="1" applyAlignment="1">
      <alignment horizontal="left" vertical="center" indent="1"/>
    </xf>
    <xf numFmtId="0" fontId="3" fillId="3" borderId="1" xfId="0" applyFont="1" applyFill="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3" fillId="0" borderId="0" xfId="0" applyFont="1" applyBorder="1" applyAlignment="1">
      <alignment horizontal="center" vertical="center"/>
    </xf>
    <xf numFmtId="166" fontId="6" fillId="0" borderId="19" xfId="0" applyNumberFormat="1" applyFont="1" applyBorder="1" applyAlignment="1">
      <alignment horizontal="center" vertical="center"/>
    </xf>
    <xf numFmtId="166" fontId="6" fillId="0" borderId="21" xfId="0" applyNumberFormat="1" applyFont="1" applyBorder="1" applyAlignment="1">
      <alignment horizontal="center" vertical="center"/>
    </xf>
    <xf numFmtId="0" fontId="6" fillId="0" borderId="19" xfId="0" applyFont="1" applyBorder="1" applyAlignment="1">
      <alignment horizontal="left" vertical="center" indent="1"/>
    </xf>
    <xf numFmtId="0" fontId="6" fillId="0" borderId="21" xfId="0" applyFont="1" applyBorder="1" applyAlignment="1">
      <alignment horizontal="left" vertical="center"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5" fillId="0" borderId="0" xfId="0" applyFont="1" applyAlignment="1">
      <alignment horizontal="center"/>
    </xf>
    <xf numFmtId="0" fontId="5" fillId="0" borderId="0" xfId="0" applyFont="1" applyAlignment="1">
      <alignment horizontal="center" vertical="center"/>
    </xf>
    <xf numFmtId="0" fontId="6" fillId="0" borderId="22" xfId="0" applyFont="1" applyBorder="1" applyAlignment="1">
      <alignment horizontal="center" vertical="center" wrapText="1"/>
    </xf>
    <xf numFmtId="0" fontId="6" fillId="6" borderId="22" xfId="0" applyFont="1" applyFill="1" applyBorder="1" applyAlignment="1">
      <alignment horizontal="center" vertical="center"/>
    </xf>
  </cellXfs>
  <cellStyles count="1">
    <cellStyle name="normální"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28576</xdr:rowOff>
    </xdr:from>
    <xdr:to>
      <xdr:col>10</xdr:col>
      <xdr:colOff>600075</xdr:colOff>
      <xdr:row>17</xdr:row>
      <xdr:rowOff>66676</xdr:rowOff>
    </xdr:to>
    <xdr:pic>
      <xdr:nvPicPr>
        <xdr:cNvPr id="2" name="Picture 1" descr="úvodní list čevak-01">
          <a:extLst>
            <a:ext uri="{FF2B5EF4-FFF2-40B4-BE49-F238E27FC236}">
              <a16:creationId xmlns="" xmlns:a16="http://schemas.microsoft.com/office/drawing/2014/main" id="{B5728525-5F1F-4C3C-8117-BA33C0C4EEB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b="69037"/>
        <a:stretch/>
      </xdr:blipFill>
      <xdr:spPr bwMode="auto">
        <a:xfrm>
          <a:off x="85725" y="28576"/>
          <a:ext cx="6610350" cy="3276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47625</xdr:colOff>
      <xdr:row>45</xdr:row>
      <xdr:rowOff>47625</xdr:rowOff>
    </xdr:from>
    <xdr:to>
      <xdr:col>10</xdr:col>
      <xdr:colOff>561975</xdr:colOff>
      <xdr:row>56</xdr:row>
      <xdr:rowOff>171450</xdr:rowOff>
    </xdr:to>
    <xdr:pic>
      <xdr:nvPicPr>
        <xdr:cNvPr id="3" name="Picture 1" descr="úvodní list čevak-01">
          <a:extLst>
            <a:ext uri="{FF2B5EF4-FFF2-40B4-BE49-F238E27FC236}">
              <a16:creationId xmlns="" xmlns:a16="http://schemas.microsoft.com/office/drawing/2014/main" id="{D09554D3-0986-4F28-AE37-FDE6A6111D4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t="78398" b="630"/>
        <a:stretch/>
      </xdr:blipFill>
      <xdr:spPr bwMode="auto">
        <a:xfrm>
          <a:off x="47625" y="9296400"/>
          <a:ext cx="6610350" cy="22193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List11">
    <pageSetUpPr fitToPage="1"/>
  </sheetPr>
  <dimension ref="A1:M58"/>
  <sheetViews>
    <sheetView tabSelected="1" workbookViewId="0">
      <selection activeCell="L11" sqref="L11"/>
    </sheetView>
  </sheetViews>
  <sheetFormatPr defaultColWidth="9.140625" defaultRowHeight="15"/>
  <cols>
    <col min="1" max="16384" width="9.140625" style="2"/>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3">
      <c r="A17" s="1"/>
      <c r="B17" s="1"/>
      <c r="C17" s="1"/>
      <c r="D17" s="1"/>
      <c r="E17" s="1"/>
      <c r="F17" s="1"/>
      <c r="G17" s="1"/>
      <c r="H17" s="1"/>
      <c r="I17" s="1"/>
      <c r="J17" s="1"/>
      <c r="K17" s="1"/>
    </row>
    <row r="18" spans="1:13">
      <c r="A18" s="1"/>
      <c r="B18" s="1"/>
      <c r="C18" s="1"/>
      <c r="D18" s="1"/>
      <c r="E18" s="1"/>
      <c r="F18" s="1"/>
      <c r="G18" s="1"/>
      <c r="H18" s="1"/>
      <c r="I18" s="1"/>
      <c r="J18" s="1"/>
      <c r="K18" s="1"/>
    </row>
    <row r="19" spans="1:13">
      <c r="A19" s="1"/>
      <c r="B19" s="1"/>
      <c r="C19" s="1"/>
      <c r="D19" s="1"/>
      <c r="E19" s="1"/>
      <c r="F19" s="1"/>
      <c r="G19" s="1"/>
      <c r="H19" s="1"/>
      <c r="I19" s="1"/>
      <c r="J19" s="1"/>
      <c r="K19" s="1"/>
    </row>
    <row r="20" spans="1:13">
      <c r="A20" s="1"/>
      <c r="B20" s="1"/>
      <c r="C20" s="1"/>
      <c r="D20" s="1"/>
      <c r="E20" s="1"/>
      <c r="F20" s="1"/>
      <c r="G20" s="1"/>
      <c r="H20" s="1"/>
      <c r="I20" s="1"/>
      <c r="J20" s="1"/>
      <c r="K20" s="1"/>
    </row>
    <row r="21" spans="1:13">
      <c r="A21" s="1"/>
      <c r="B21" s="1"/>
      <c r="C21" s="1"/>
      <c r="D21" s="1"/>
      <c r="E21" s="1"/>
      <c r="F21" s="1"/>
      <c r="G21" s="1"/>
      <c r="H21" s="1"/>
      <c r="I21" s="1"/>
      <c r="J21" s="1"/>
      <c r="K21" s="1"/>
    </row>
    <row r="22" spans="1:13">
      <c r="A22" s="1"/>
      <c r="B22" s="1"/>
      <c r="C22" s="1"/>
      <c r="D22" s="1"/>
      <c r="E22" s="1"/>
      <c r="F22" s="1"/>
      <c r="G22" s="1"/>
      <c r="H22" s="1"/>
      <c r="I22" s="1"/>
      <c r="J22" s="1"/>
      <c r="K22" s="1"/>
    </row>
    <row r="23" spans="1:13" ht="30.75" customHeight="1">
      <c r="A23" s="85" t="s">
        <v>0</v>
      </c>
      <c r="B23" s="85"/>
      <c r="C23" s="85"/>
      <c r="D23" s="85"/>
      <c r="E23" s="85"/>
      <c r="F23" s="85"/>
      <c r="G23" s="85"/>
      <c r="H23" s="85"/>
      <c r="I23" s="85"/>
      <c r="J23" s="85"/>
      <c r="K23" s="85"/>
    </row>
    <row r="24" spans="1:13">
      <c r="A24" s="1"/>
      <c r="B24" s="1"/>
      <c r="C24" s="1"/>
      <c r="D24" s="1"/>
      <c r="E24" s="1"/>
      <c r="F24" s="1"/>
      <c r="G24" s="1"/>
      <c r="H24" s="1"/>
      <c r="I24" s="1"/>
      <c r="J24" s="1"/>
      <c r="K24" s="1"/>
    </row>
    <row r="25" spans="1:13">
      <c r="A25" s="1"/>
      <c r="B25" s="1"/>
      <c r="C25" s="1"/>
      <c r="D25" s="1"/>
      <c r="E25" s="1"/>
      <c r="F25" s="1"/>
      <c r="G25" s="1"/>
      <c r="H25" s="1"/>
      <c r="I25" s="1"/>
      <c r="J25" s="1"/>
      <c r="K25" s="1"/>
    </row>
    <row r="26" spans="1:13" ht="33" customHeight="1">
      <c r="A26" s="85" t="str">
        <f>+CONCATENATE("rok ",kalkulace!J2)</f>
        <v>rok 2022</v>
      </c>
      <c r="B26" s="85"/>
      <c r="C26" s="85"/>
      <c r="D26" s="85"/>
      <c r="E26" s="85"/>
      <c r="F26" s="85"/>
      <c r="G26" s="85"/>
      <c r="H26" s="85"/>
      <c r="I26" s="85"/>
      <c r="J26" s="85"/>
      <c r="K26" s="85"/>
    </row>
    <row r="27" spans="1:13">
      <c r="A27" s="1"/>
      <c r="B27" s="1"/>
      <c r="C27" s="1"/>
      <c r="D27" s="1"/>
      <c r="E27" s="1"/>
      <c r="F27" s="1"/>
      <c r="G27" s="1"/>
      <c r="H27" s="1"/>
      <c r="I27" s="1"/>
      <c r="J27" s="1"/>
      <c r="K27" s="1"/>
    </row>
    <row r="28" spans="1:13">
      <c r="A28" s="1"/>
      <c r="B28" s="1"/>
      <c r="C28" s="1"/>
      <c r="D28" s="1"/>
      <c r="E28" s="1"/>
      <c r="F28" s="1"/>
      <c r="G28" s="1"/>
      <c r="H28" s="1"/>
      <c r="I28" s="1"/>
      <c r="J28" s="1"/>
      <c r="K28" s="1"/>
    </row>
    <row r="29" spans="1:13" ht="28.5" customHeight="1">
      <c r="A29" s="85" t="str">
        <f>+kalkulace!C8</f>
        <v>Stádlec</v>
      </c>
      <c r="B29" s="85"/>
      <c r="C29" s="85"/>
      <c r="D29" s="85"/>
      <c r="E29" s="85"/>
      <c r="F29" s="85"/>
      <c r="G29" s="85"/>
      <c r="H29" s="85"/>
      <c r="I29" s="85"/>
      <c r="J29" s="85"/>
      <c r="K29" s="85"/>
    </row>
    <row r="30" spans="1:13">
      <c r="A30" s="1"/>
      <c r="B30" s="1"/>
      <c r="C30" s="1"/>
      <c r="D30" s="1"/>
      <c r="E30" s="1"/>
      <c r="F30" s="1"/>
      <c r="G30" s="1"/>
      <c r="H30" s="1"/>
      <c r="I30" s="1"/>
      <c r="J30" s="1"/>
      <c r="K30" s="1"/>
    </row>
    <row r="31" spans="1:13">
      <c r="A31" s="1"/>
      <c r="B31" s="1"/>
      <c r="C31" s="1"/>
      <c r="D31" s="1"/>
      <c r="E31" s="1"/>
      <c r="F31" s="1"/>
      <c r="G31" s="1"/>
      <c r="H31" s="1"/>
      <c r="I31" s="1"/>
      <c r="J31" s="1"/>
      <c r="K31" s="1"/>
    </row>
    <row r="32" spans="1:13" ht="31.5">
      <c r="A32" s="85"/>
      <c r="B32" s="85"/>
      <c r="C32" s="85"/>
      <c r="D32" s="85"/>
      <c r="E32" s="85"/>
      <c r="F32" s="85"/>
      <c r="G32" s="85"/>
      <c r="H32" s="85"/>
      <c r="I32" s="85"/>
      <c r="J32" s="85"/>
      <c r="K32" s="85"/>
      <c r="M32" s="2" t="s">
        <v>1</v>
      </c>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sheetData>
  <mergeCells count="4">
    <mergeCell ref="A23:K23"/>
    <mergeCell ref="A26:K26"/>
    <mergeCell ref="A29:K29"/>
    <mergeCell ref="A32:K32"/>
  </mergeCells>
  <pageMargins left="0.70866141732283472" right="0.70866141732283472" top="0.78740157480314965" bottom="0.78740157480314965"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sheetPr codeName="List2">
    <tabColor rgb="FF92D050"/>
  </sheetPr>
  <dimension ref="A1:R93"/>
  <sheetViews>
    <sheetView showGridLines="0" topLeftCell="A24" zoomScaleNormal="100" workbookViewId="0"/>
  </sheetViews>
  <sheetFormatPr defaultColWidth="9.140625" defaultRowHeight="15" customHeight="1" outlineLevelRow="1" outlineLevelCol="1"/>
  <cols>
    <col min="1" max="1" width="7.28515625" style="3" customWidth="1"/>
    <col min="2" max="2" width="47.28515625" style="3" bestFit="1" customWidth="1"/>
    <col min="3" max="3" width="8.7109375" style="3" customWidth="1"/>
    <col min="4" max="7" width="10.7109375" style="3" customWidth="1"/>
    <col min="8" max="8" width="9.140625" style="3"/>
    <col min="9" max="11" width="0" style="3" hidden="1" customWidth="1" outlineLevel="1"/>
    <col min="12" max="13" width="12" style="3" hidden="1" customWidth="1" outlineLevel="1"/>
    <col min="14" max="17" width="0" style="3" hidden="1" customWidth="1" outlineLevel="1"/>
    <col min="18" max="18" width="9.140625" style="3" collapsed="1"/>
    <col min="19" max="16384" width="9.140625" style="3"/>
  </cols>
  <sheetData>
    <row r="1" spans="1:15" ht="15" customHeight="1">
      <c r="G1" s="4"/>
      <c r="I1" s="3" t="s">
        <v>2</v>
      </c>
      <c r="J1" s="5" t="s">
        <v>3</v>
      </c>
      <c r="K1" s="3" t="s">
        <v>4</v>
      </c>
      <c r="L1" s="3" t="s">
        <v>5</v>
      </c>
      <c r="M1" s="3" t="s">
        <v>6</v>
      </c>
      <c r="N1" s="3" t="s">
        <v>7</v>
      </c>
      <c r="O1" s="3" t="s">
        <v>8</v>
      </c>
    </row>
    <row r="2" spans="1:15" ht="15" customHeight="1">
      <c r="I2" s="6">
        <v>0.1</v>
      </c>
      <c r="J2" s="7">
        <v>2022</v>
      </c>
      <c r="K2" s="7">
        <v>12</v>
      </c>
      <c r="L2" s="8">
        <v>1</v>
      </c>
      <c r="M2" s="8">
        <v>9</v>
      </c>
      <c r="N2" s="8">
        <f>+M2-L2+1</f>
        <v>9</v>
      </c>
      <c r="O2" s="8">
        <f>+IF(M2&lt;11,0,1)</f>
        <v>0</v>
      </c>
    </row>
    <row r="3" spans="1:15" ht="15" customHeight="1">
      <c r="A3" s="89" t="str">
        <f>CONCATENATE("NÁVRH  (KALKULACE) CEN PRO VODNÉ A STOČNÉ PRO HOSPODÁŘSKÝ ROK ",$J$2)</f>
        <v>NÁVRH  (KALKULACE) CEN PRO VODNÉ A STOČNÉ PRO HOSPODÁŘSKÝ ROK 2022</v>
      </c>
      <c r="B3" s="89"/>
      <c r="C3" s="89"/>
      <c r="D3" s="89"/>
      <c r="E3" s="89"/>
      <c r="F3" s="89"/>
      <c r="G3" s="89"/>
    </row>
    <row r="5" spans="1:15" ht="15" customHeight="1">
      <c r="G5" s="9" t="s">
        <v>9</v>
      </c>
    </row>
    <row r="6" spans="1:15" ht="15" customHeight="1">
      <c r="A6" s="10" t="s">
        <v>10</v>
      </c>
      <c r="B6" s="10" t="s">
        <v>11</v>
      </c>
      <c r="C6" s="90" t="s">
        <v>12</v>
      </c>
      <c r="D6" s="90"/>
      <c r="E6" s="90"/>
      <c r="F6" s="90"/>
      <c r="G6" s="90"/>
    </row>
    <row r="7" spans="1:15" ht="15" customHeight="1">
      <c r="A7" s="10" t="s">
        <v>13</v>
      </c>
      <c r="B7" s="10" t="s">
        <v>14</v>
      </c>
      <c r="C7" s="90" t="s">
        <v>12</v>
      </c>
      <c r="D7" s="90"/>
      <c r="E7" s="90"/>
      <c r="F7" s="11"/>
      <c r="G7" s="12" t="s">
        <v>15</v>
      </c>
    </row>
    <row r="8" spans="1:15" ht="15" customHeight="1">
      <c r="A8" s="10" t="s">
        <v>16</v>
      </c>
      <c r="B8" s="10" t="s">
        <v>17</v>
      </c>
      <c r="C8" s="91" t="s">
        <v>18</v>
      </c>
      <c r="D8" s="91"/>
      <c r="E8" s="91"/>
      <c r="F8" s="13"/>
      <c r="G8" s="14" t="s">
        <v>19</v>
      </c>
    </row>
    <row r="9" spans="1:15" ht="15" customHeight="1">
      <c r="A9" s="10" t="s">
        <v>20</v>
      </c>
      <c r="B9" s="10" t="s">
        <v>21</v>
      </c>
      <c r="C9" s="92" t="s">
        <v>22</v>
      </c>
      <c r="D9" s="93"/>
      <c r="E9" s="93"/>
      <c r="F9" s="93"/>
      <c r="G9" s="94"/>
    </row>
    <row r="10" spans="1:15" ht="15" customHeight="1">
      <c r="A10" s="10" t="s">
        <v>23</v>
      </c>
      <c r="B10" s="10" t="s">
        <v>24</v>
      </c>
      <c r="C10" s="95"/>
      <c r="D10" s="96"/>
      <c r="E10" s="96"/>
      <c r="F10" s="96"/>
      <c r="G10" s="97"/>
    </row>
    <row r="11" spans="1:15" ht="15" customHeight="1">
      <c r="A11" s="10" t="s">
        <v>25</v>
      </c>
      <c r="B11" s="10" t="s">
        <v>26</v>
      </c>
      <c r="C11" s="86"/>
      <c r="D11" s="87"/>
      <c r="E11" s="87"/>
      <c r="F11" s="87"/>
      <c r="G11" s="88"/>
    </row>
    <row r="13" spans="1:15" ht="15" customHeight="1">
      <c r="A13" s="98" t="s">
        <v>27</v>
      </c>
      <c r="B13" s="98" t="s">
        <v>28</v>
      </c>
      <c r="C13" s="98"/>
      <c r="D13" s="98"/>
      <c r="E13" s="98"/>
      <c r="F13" s="98"/>
      <c r="G13" s="98"/>
    </row>
    <row r="14" spans="1:15" ht="15" customHeight="1">
      <c r="A14" s="98"/>
      <c r="B14" s="99" t="s">
        <v>29</v>
      </c>
      <c r="C14" s="99" t="s">
        <v>30</v>
      </c>
      <c r="D14" s="100" t="s">
        <v>31</v>
      </c>
      <c r="E14" s="101"/>
      <c r="F14" s="100" t="s">
        <v>32</v>
      </c>
      <c r="G14" s="101"/>
    </row>
    <row r="15" spans="1:15" s="5" customFormat="1" ht="15" customHeight="1">
      <c r="A15" s="98"/>
      <c r="B15" s="99"/>
      <c r="C15" s="99"/>
      <c r="D15" s="68">
        <v>2021</v>
      </c>
      <c r="E15" s="15">
        <f>$J$2</f>
        <v>2022</v>
      </c>
      <c r="F15" s="68">
        <v>2021</v>
      </c>
      <c r="G15" s="15">
        <f>$J$2</f>
        <v>2022</v>
      </c>
    </row>
    <row r="16" spans="1:15" s="5" customFormat="1" ht="15" customHeight="1">
      <c r="A16" s="98"/>
      <c r="B16" s="99"/>
      <c r="C16" s="99"/>
      <c r="D16" s="16" t="s">
        <v>33</v>
      </c>
      <c r="E16" s="16" t="s">
        <v>33</v>
      </c>
      <c r="F16" s="16" t="s">
        <v>33</v>
      </c>
      <c r="G16" s="16" t="s">
        <v>33</v>
      </c>
    </row>
    <row r="17" spans="1:15" s="18" customFormat="1" ht="15" customHeight="1">
      <c r="A17" s="17">
        <v>1</v>
      </c>
      <c r="B17" s="17">
        <v>2</v>
      </c>
      <c r="C17" s="17" t="s">
        <v>34</v>
      </c>
      <c r="D17" s="17">
        <v>4</v>
      </c>
      <c r="E17" s="17">
        <v>4</v>
      </c>
      <c r="F17" s="17">
        <v>7</v>
      </c>
      <c r="G17" s="17">
        <v>7</v>
      </c>
    </row>
    <row r="18" spans="1:15" s="22" customFormat="1" ht="15" customHeight="1">
      <c r="A18" s="19" t="s">
        <v>35</v>
      </c>
      <c r="B18" s="19" t="s">
        <v>36</v>
      </c>
      <c r="C18" s="20" t="s">
        <v>37</v>
      </c>
      <c r="D18" s="21">
        <f t="shared" ref="D18:G18" si="0">SUM(D19:D22)</f>
        <v>207700</v>
      </c>
      <c r="E18" s="21">
        <f t="shared" si="0"/>
        <v>219200</v>
      </c>
      <c r="F18" s="21">
        <f t="shared" si="0"/>
        <v>2000</v>
      </c>
      <c r="G18" s="21">
        <f t="shared" si="0"/>
        <v>2000</v>
      </c>
    </row>
    <row r="19" spans="1:15" ht="15" customHeight="1">
      <c r="A19" s="23" t="s">
        <v>38</v>
      </c>
      <c r="B19" s="23" t="s">
        <v>39</v>
      </c>
      <c r="C19" s="16" t="s">
        <v>37</v>
      </c>
      <c r="D19" s="24">
        <v>0</v>
      </c>
      <c r="E19" s="24">
        <v>0</v>
      </c>
      <c r="F19" s="24">
        <v>0</v>
      </c>
      <c r="G19" s="24">
        <v>0</v>
      </c>
    </row>
    <row r="20" spans="1:15" ht="15" customHeight="1">
      <c r="A20" s="23" t="s">
        <v>40</v>
      </c>
      <c r="B20" s="25" t="s">
        <v>41</v>
      </c>
      <c r="C20" s="16" t="s">
        <v>37</v>
      </c>
      <c r="D20" s="24">
        <v>173300</v>
      </c>
      <c r="E20" s="24">
        <v>183600</v>
      </c>
      <c r="F20" s="24">
        <v>0</v>
      </c>
      <c r="G20" s="24">
        <v>0</v>
      </c>
    </row>
    <row r="21" spans="1:15" ht="15" customHeight="1">
      <c r="A21" s="23" t="s">
        <v>42</v>
      </c>
      <c r="B21" s="25" t="s">
        <v>43</v>
      </c>
      <c r="C21" s="16" t="s">
        <v>37</v>
      </c>
      <c r="D21" s="24">
        <v>0</v>
      </c>
      <c r="E21" s="24">
        <v>0</v>
      </c>
      <c r="F21" s="24">
        <v>0</v>
      </c>
      <c r="G21" s="24">
        <v>0</v>
      </c>
    </row>
    <row r="22" spans="1:15" ht="15" customHeight="1">
      <c r="A22" s="23" t="s">
        <v>44</v>
      </c>
      <c r="B22" s="25" t="s">
        <v>45</v>
      </c>
      <c r="C22" s="16" t="s">
        <v>37</v>
      </c>
      <c r="D22" s="24">
        <v>34400</v>
      </c>
      <c r="E22" s="24">
        <v>35600</v>
      </c>
      <c r="F22" s="24">
        <v>2000</v>
      </c>
      <c r="G22" s="24">
        <v>2000</v>
      </c>
      <c r="M22" s="3" t="s">
        <v>46</v>
      </c>
      <c r="N22" s="26">
        <v>10000</v>
      </c>
      <c r="O22" s="26">
        <v>0</v>
      </c>
    </row>
    <row r="23" spans="1:15" s="22" customFormat="1" ht="15" customHeight="1">
      <c r="A23" s="19" t="s">
        <v>47</v>
      </c>
      <c r="B23" s="19" t="s">
        <v>48</v>
      </c>
      <c r="C23" s="20" t="s">
        <v>37</v>
      </c>
      <c r="D23" s="21">
        <f t="shared" ref="D23:G23" si="1">SUM(D24:D25)</f>
        <v>0</v>
      </c>
      <c r="E23" s="21">
        <f t="shared" si="1"/>
        <v>0</v>
      </c>
      <c r="F23" s="21">
        <f t="shared" si="1"/>
        <v>0</v>
      </c>
      <c r="G23" s="21">
        <f t="shared" si="1"/>
        <v>0</v>
      </c>
    </row>
    <row r="24" spans="1:15" ht="15" customHeight="1">
      <c r="A24" s="23" t="s">
        <v>49</v>
      </c>
      <c r="B24" s="23" t="s">
        <v>50</v>
      </c>
      <c r="C24" s="16" t="s">
        <v>37</v>
      </c>
      <c r="D24" s="24">
        <v>0</v>
      </c>
      <c r="E24" s="24">
        <v>0</v>
      </c>
      <c r="F24" s="24">
        <v>0</v>
      </c>
      <c r="G24" s="24">
        <v>0</v>
      </c>
    </row>
    <row r="25" spans="1:15" ht="15" customHeight="1">
      <c r="A25" s="23" t="s">
        <v>51</v>
      </c>
      <c r="B25" s="25" t="s">
        <v>52</v>
      </c>
      <c r="C25" s="16" t="s">
        <v>37</v>
      </c>
      <c r="D25" s="24">
        <v>0</v>
      </c>
      <c r="E25" s="24">
        <v>0</v>
      </c>
      <c r="F25" s="24">
        <v>0</v>
      </c>
      <c r="G25" s="24">
        <v>0</v>
      </c>
    </row>
    <row r="26" spans="1:15" ht="15" customHeight="1">
      <c r="A26" s="19">
        <v>3</v>
      </c>
      <c r="B26" s="19" t="s">
        <v>53</v>
      </c>
      <c r="C26" s="20" t="s">
        <v>37</v>
      </c>
      <c r="D26" s="21">
        <f t="shared" ref="D26:G26" si="2">SUM(D27:D28)</f>
        <v>41800</v>
      </c>
      <c r="E26" s="21">
        <f t="shared" si="2"/>
        <v>43300</v>
      </c>
      <c r="F26" s="21">
        <f t="shared" si="2"/>
        <v>14200</v>
      </c>
      <c r="G26" s="21">
        <f t="shared" si="2"/>
        <v>14800</v>
      </c>
    </row>
    <row r="27" spans="1:15" ht="15" customHeight="1">
      <c r="A27" s="23" t="s">
        <v>54</v>
      </c>
      <c r="B27" s="23" t="s">
        <v>55</v>
      </c>
      <c r="C27" s="16" t="s">
        <v>37</v>
      </c>
      <c r="D27" s="24">
        <v>30500</v>
      </c>
      <c r="E27" s="24">
        <v>31600</v>
      </c>
      <c r="F27" s="24">
        <v>10400</v>
      </c>
      <c r="G27" s="24">
        <v>10800</v>
      </c>
    </row>
    <row r="28" spans="1:15" ht="15" customHeight="1">
      <c r="A28" s="23" t="s">
        <v>56</v>
      </c>
      <c r="B28" s="25" t="s">
        <v>57</v>
      </c>
      <c r="C28" s="16" t="s">
        <v>37</v>
      </c>
      <c r="D28" s="24">
        <v>11300</v>
      </c>
      <c r="E28" s="24">
        <v>11700</v>
      </c>
      <c r="F28" s="24">
        <v>3800</v>
      </c>
      <c r="G28" s="24">
        <v>4000</v>
      </c>
    </row>
    <row r="29" spans="1:15" ht="15" customHeight="1">
      <c r="A29" s="27">
        <v>4</v>
      </c>
      <c r="B29" s="19" t="s">
        <v>58</v>
      </c>
      <c r="C29" s="20" t="s">
        <v>37</v>
      </c>
      <c r="D29" s="21">
        <f t="shared" ref="D29:G29" si="3">SUM(D30:D33)</f>
        <v>12300</v>
      </c>
      <c r="E29" s="21">
        <f t="shared" si="3"/>
        <v>18400</v>
      </c>
      <c r="F29" s="21">
        <f t="shared" si="3"/>
        <v>93140</v>
      </c>
      <c r="G29" s="21">
        <f t="shared" si="3"/>
        <v>137300</v>
      </c>
    </row>
    <row r="30" spans="1:15" ht="15" customHeight="1">
      <c r="A30" s="23" t="s">
        <v>59</v>
      </c>
      <c r="B30" s="25" t="s">
        <v>60</v>
      </c>
      <c r="C30" s="16" t="s">
        <v>37</v>
      </c>
      <c r="D30" s="24">
        <v>0</v>
      </c>
      <c r="E30" s="24">
        <v>0</v>
      </c>
      <c r="F30" s="24">
        <v>0</v>
      </c>
      <c r="G30" s="24">
        <v>0</v>
      </c>
    </row>
    <row r="31" spans="1:15" ht="15" customHeight="1">
      <c r="A31" s="23" t="s">
        <v>61</v>
      </c>
      <c r="B31" s="25" t="s">
        <v>62</v>
      </c>
      <c r="C31" s="16" t="s">
        <v>37</v>
      </c>
      <c r="D31" s="24">
        <v>5000</v>
      </c>
      <c r="E31" s="24">
        <v>5000</v>
      </c>
      <c r="F31" s="24">
        <v>1000</v>
      </c>
      <c r="G31" s="24">
        <v>1000</v>
      </c>
    </row>
    <row r="32" spans="1:15" ht="15" customHeight="1">
      <c r="A32" s="23" t="s">
        <v>63</v>
      </c>
      <c r="B32" s="25" t="s">
        <v>64</v>
      </c>
      <c r="C32" s="16" t="s">
        <v>37</v>
      </c>
      <c r="D32" s="24">
        <v>7300</v>
      </c>
      <c r="E32" s="24">
        <v>13400</v>
      </c>
      <c r="F32" s="24">
        <v>92140</v>
      </c>
      <c r="G32" s="24">
        <v>136300</v>
      </c>
    </row>
    <row r="33" spans="1:17" ht="15" customHeight="1">
      <c r="A33" s="23" t="s">
        <v>65</v>
      </c>
      <c r="B33" s="25" t="s">
        <v>66</v>
      </c>
      <c r="C33" s="16" t="s">
        <v>37</v>
      </c>
      <c r="D33" s="24">
        <v>0</v>
      </c>
      <c r="E33" s="24">
        <v>0</v>
      </c>
      <c r="F33" s="24">
        <v>0</v>
      </c>
      <c r="G33" s="24">
        <v>0</v>
      </c>
    </row>
    <row r="34" spans="1:17" s="28" customFormat="1" ht="15" customHeight="1">
      <c r="A34" s="19">
        <v>5</v>
      </c>
      <c r="B34" s="19" t="s">
        <v>67</v>
      </c>
      <c r="C34" s="20" t="s">
        <v>37</v>
      </c>
      <c r="D34" s="21">
        <f t="shared" ref="D34:G34" si="4">SUM(D35:D37)</f>
        <v>29115</v>
      </c>
      <c r="E34" s="21">
        <f t="shared" si="4"/>
        <v>30601</v>
      </c>
      <c r="F34" s="21">
        <f t="shared" si="4"/>
        <v>62060</v>
      </c>
      <c r="G34" s="21">
        <f t="shared" si="4"/>
        <v>64114</v>
      </c>
    </row>
    <row r="35" spans="1:17" ht="15" customHeight="1">
      <c r="A35" s="23" t="s">
        <v>68</v>
      </c>
      <c r="B35" s="25" t="s">
        <v>69</v>
      </c>
      <c r="C35" s="16" t="s">
        <v>37</v>
      </c>
      <c r="D35" s="24">
        <v>0</v>
      </c>
      <c r="E35" s="24">
        <v>0</v>
      </c>
      <c r="F35" s="24">
        <v>0</v>
      </c>
      <c r="G35" s="24">
        <v>0</v>
      </c>
    </row>
    <row r="36" spans="1:17" ht="15" customHeight="1">
      <c r="A36" s="23" t="s">
        <v>70</v>
      </c>
      <c r="B36" s="25" t="s">
        <v>71</v>
      </c>
      <c r="C36" s="16" t="s">
        <v>37</v>
      </c>
      <c r="D36" s="24">
        <v>2000</v>
      </c>
      <c r="E36" s="24">
        <v>2000</v>
      </c>
      <c r="F36" s="24">
        <v>1400</v>
      </c>
      <c r="G36" s="24">
        <v>1400</v>
      </c>
    </row>
    <row r="37" spans="1:17" ht="15" customHeight="1">
      <c r="A37" s="23" t="s">
        <v>72</v>
      </c>
      <c r="B37" s="25" t="s">
        <v>73</v>
      </c>
      <c r="C37" s="16" t="s">
        <v>37</v>
      </c>
      <c r="D37" s="24">
        <v>27115</v>
      </c>
      <c r="E37" s="24">
        <v>28601</v>
      </c>
      <c r="F37" s="24">
        <v>60660</v>
      </c>
      <c r="G37" s="24">
        <v>62714</v>
      </c>
    </row>
    <row r="38" spans="1:17" s="28" customFormat="1" ht="15" customHeight="1">
      <c r="A38" s="19">
        <v>6</v>
      </c>
      <c r="B38" s="29" t="s">
        <v>74</v>
      </c>
      <c r="C38" s="20" t="s">
        <v>37</v>
      </c>
      <c r="D38" s="21">
        <v>0</v>
      </c>
      <c r="E38" s="21">
        <v>0</v>
      </c>
      <c r="F38" s="21">
        <v>0</v>
      </c>
      <c r="G38" s="21">
        <v>0</v>
      </c>
    </row>
    <row r="39" spans="1:17" s="28" customFormat="1" ht="15" customHeight="1">
      <c r="A39" s="19">
        <v>7</v>
      </c>
      <c r="B39" s="29" t="s">
        <v>75</v>
      </c>
      <c r="C39" s="20" t="s">
        <v>37</v>
      </c>
      <c r="D39" s="21">
        <v>0</v>
      </c>
      <c r="E39" s="21">
        <v>0</v>
      </c>
      <c r="F39" s="21">
        <v>0</v>
      </c>
      <c r="G39" s="21">
        <v>0</v>
      </c>
    </row>
    <row r="40" spans="1:17" s="28" customFormat="1" ht="15" customHeight="1">
      <c r="A40" s="19">
        <v>8</v>
      </c>
      <c r="B40" s="29" t="s">
        <v>76</v>
      </c>
      <c r="C40" s="20" t="s">
        <v>37</v>
      </c>
      <c r="D40" s="21">
        <v>8383</v>
      </c>
      <c r="E40" s="21">
        <v>8787</v>
      </c>
      <c r="F40" s="21">
        <v>27674</v>
      </c>
      <c r="G40" s="21">
        <v>27674</v>
      </c>
    </row>
    <row r="41" spans="1:17" s="28" customFormat="1" ht="15" customHeight="1" thickBot="1">
      <c r="A41" s="19">
        <v>9</v>
      </c>
      <c r="B41" s="29" t="s">
        <v>77</v>
      </c>
      <c r="C41" s="20" t="s">
        <v>37</v>
      </c>
      <c r="D41" s="21">
        <v>12782</v>
      </c>
      <c r="E41" s="21">
        <v>13398</v>
      </c>
      <c r="F41" s="21">
        <v>42196</v>
      </c>
      <c r="G41" s="21">
        <v>42196</v>
      </c>
    </row>
    <row r="42" spans="1:17" s="28" customFormat="1" ht="15" customHeight="1">
      <c r="A42" s="19">
        <v>10</v>
      </c>
      <c r="B42" s="29" t="s">
        <v>78</v>
      </c>
      <c r="C42" s="20" t="s">
        <v>37</v>
      </c>
      <c r="D42" s="21">
        <f t="shared" ref="D42:G42" si="5">SUM(D18,D23,D26,D29,D34,D38,D39,D40,D41)</f>
        <v>312080</v>
      </c>
      <c r="E42" s="21">
        <f t="shared" si="5"/>
        <v>333686</v>
      </c>
      <c r="F42" s="21">
        <f t="shared" si="5"/>
        <v>241270</v>
      </c>
      <c r="G42" s="21">
        <f t="shared" si="5"/>
        <v>288084</v>
      </c>
      <c r="M42" s="30" t="s">
        <v>79</v>
      </c>
      <c r="N42" s="31"/>
      <c r="O42" s="31"/>
      <c r="P42" s="31" t="s">
        <v>80</v>
      </c>
      <c r="Q42" s="32" t="s">
        <v>81</v>
      </c>
    </row>
    <row r="43" spans="1:17" ht="15" customHeight="1">
      <c r="A43" s="23" t="s">
        <v>82</v>
      </c>
      <c r="B43" s="25" t="s">
        <v>83</v>
      </c>
      <c r="C43" s="16" t="s">
        <v>37</v>
      </c>
      <c r="D43" s="24"/>
      <c r="E43" s="24"/>
      <c r="F43" s="24"/>
      <c r="G43" s="24"/>
      <c r="M43" s="33" t="s">
        <v>84</v>
      </c>
      <c r="N43" s="34"/>
      <c r="O43" s="34"/>
      <c r="P43" s="34" t="str">
        <f>+IF((E66/E70)/(D66/D70)&lt;1.07,"OK","CHYBA")</f>
        <v>OK</v>
      </c>
      <c r="Q43" s="35" t="str">
        <f>+IF((G66/G70)/(F66/F70)&lt;1.07,"OK","CHYBA")</f>
        <v>OK</v>
      </c>
    </row>
    <row r="44" spans="1:17" ht="15" customHeight="1">
      <c r="A44" s="23" t="s">
        <v>85</v>
      </c>
      <c r="B44" s="25" t="s">
        <v>86</v>
      </c>
      <c r="C44" s="16" t="s">
        <v>37</v>
      </c>
      <c r="D44" s="24"/>
      <c r="E44" s="24"/>
      <c r="F44" s="24"/>
      <c r="G44" s="24"/>
      <c r="M44" s="33"/>
      <c r="N44" s="34"/>
      <c r="O44" s="34"/>
      <c r="P44" s="34"/>
      <c r="Q44" s="35"/>
    </row>
    <row r="45" spans="1:17" ht="15" customHeight="1" thickBot="1">
      <c r="A45" s="23" t="s">
        <v>87</v>
      </c>
      <c r="B45" s="25" t="s">
        <v>88</v>
      </c>
      <c r="C45" s="16" t="s">
        <v>89</v>
      </c>
      <c r="D45" s="24"/>
      <c r="E45" s="24"/>
      <c r="F45" s="24"/>
      <c r="G45" s="24"/>
      <c r="M45" s="36" t="s">
        <v>90</v>
      </c>
      <c r="N45" s="37"/>
      <c r="O45" s="37"/>
      <c r="P45" s="37" t="s">
        <v>91</v>
      </c>
      <c r="Q45" s="38" t="s">
        <v>91</v>
      </c>
    </row>
    <row r="46" spans="1:17" ht="15" customHeight="1">
      <c r="A46" s="23" t="s">
        <v>92</v>
      </c>
      <c r="B46" s="25" t="s">
        <v>93</v>
      </c>
      <c r="C46" s="16" t="s">
        <v>94</v>
      </c>
      <c r="D46" s="24">
        <v>8300</v>
      </c>
      <c r="E46" s="24">
        <v>8700</v>
      </c>
      <c r="F46" s="24"/>
      <c r="G46" s="24"/>
    </row>
    <row r="47" spans="1:17" ht="15" customHeight="1">
      <c r="A47" s="23" t="s">
        <v>95</v>
      </c>
      <c r="B47" s="25" t="s">
        <v>96</v>
      </c>
      <c r="C47" s="16" t="s">
        <v>94</v>
      </c>
      <c r="D47" s="24"/>
      <c r="E47" s="24"/>
      <c r="F47" s="24"/>
      <c r="G47" s="24"/>
    </row>
    <row r="48" spans="1:17" ht="15" customHeight="1">
      <c r="A48" s="23" t="s">
        <v>97</v>
      </c>
      <c r="B48" s="25" t="s">
        <v>98</v>
      </c>
      <c r="C48" s="16" t="s">
        <v>94</v>
      </c>
      <c r="D48" s="24"/>
      <c r="E48" s="24"/>
      <c r="F48" s="24">
        <v>27400</v>
      </c>
      <c r="G48" s="24">
        <v>27400</v>
      </c>
    </row>
    <row r="49" spans="1:7" ht="15" customHeight="1">
      <c r="A49" s="23" t="s">
        <v>99</v>
      </c>
      <c r="B49" s="25" t="s">
        <v>96</v>
      </c>
      <c r="C49" s="16" t="s">
        <v>94</v>
      </c>
      <c r="D49" s="24"/>
      <c r="E49" s="24"/>
      <c r="F49" s="24"/>
      <c r="G49" s="24"/>
    </row>
    <row r="50" spans="1:7" ht="15" customHeight="1">
      <c r="A50" s="23" t="s">
        <v>100</v>
      </c>
      <c r="B50" s="25" t="s">
        <v>101</v>
      </c>
      <c r="C50" s="16" t="s">
        <v>94</v>
      </c>
      <c r="D50" s="24"/>
      <c r="E50" s="24"/>
      <c r="F50" s="24"/>
      <c r="G50" s="24"/>
    </row>
    <row r="51" spans="1:7" ht="15" customHeight="1">
      <c r="A51" s="23" t="s">
        <v>10</v>
      </c>
      <c r="B51" s="25" t="s">
        <v>102</v>
      </c>
      <c r="C51" s="16" t="s">
        <v>94</v>
      </c>
      <c r="D51" s="24"/>
      <c r="E51" s="24"/>
      <c r="F51" s="24"/>
      <c r="G51" s="24"/>
    </row>
    <row r="52" spans="1:7" ht="15" customHeight="1">
      <c r="A52" s="23" t="s">
        <v>103</v>
      </c>
      <c r="B52" s="25" t="s">
        <v>104</v>
      </c>
      <c r="C52" s="16" t="s">
        <v>94</v>
      </c>
      <c r="D52" s="24">
        <v>9800</v>
      </c>
      <c r="E52" s="24">
        <v>10300</v>
      </c>
      <c r="F52" s="24"/>
      <c r="G52" s="24"/>
    </row>
    <row r="53" spans="1:7" ht="15" customHeight="1">
      <c r="A53" s="23" t="s">
        <v>105</v>
      </c>
      <c r="B53" s="25" t="s">
        <v>106</v>
      </c>
      <c r="C53" s="16" t="s">
        <v>94</v>
      </c>
      <c r="D53" s="24"/>
      <c r="E53" s="24"/>
      <c r="F53" s="24"/>
      <c r="G53" s="24"/>
    </row>
    <row r="55" spans="1:7" ht="15" hidden="1" customHeight="1" outlineLevel="1">
      <c r="A55" s="5" t="s">
        <v>107</v>
      </c>
      <c r="B55" s="3" t="s">
        <v>108</v>
      </c>
    </row>
    <row r="56" spans="1:7" ht="15" hidden="1" customHeight="1" outlineLevel="1">
      <c r="B56" s="3" t="s">
        <v>109</v>
      </c>
    </row>
    <row r="57" spans="1:7" ht="15" hidden="1" customHeight="1" outlineLevel="1">
      <c r="B57" s="3" t="s">
        <v>110</v>
      </c>
    </row>
    <row r="58" spans="1:7" ht="15" hidden="1" customHeight="1" outlineLevel="1"/>
    <row r="59" spans="1:7" ht="15" customHeight="1" collapsed="1">
      <c r="G59" s="9" t="s">
        <v>111</v>
      </c>
    </row>
    <row r="60" spans="1:7" ht="15" customHeight="1">
      <c r="A60" s="102" t="s">
        <v>27</v>
      </c>
      <c r="B60" s="104" t="s">
        <v>112</v>
      </c>
      <c r="C60" s="100"/>
      <c r="D60" s="100"/>
      <c r="E60" s="100"/>
      <c r="F60" s="100"/>
      <c r="G60" s="101"/>
    </row>
    <row r="61" spans="1:7" ht="15" customHeight="1">
      <c r="A61" s="103"/>
      <c r="B61" s="105" t="s">
        <v>113</v>
      </c>
      <c r="C61" s="105" t="s">
        <v>30</v>
      </c>
      <c r="D61" s="100" t="s">
        <v>31</v>
      </c>
      <c r="E61" s="101"/>
      <c r="F61" s="100" t="s">
        <v>32</v>
      </c>
      <c r="G61" s="101"/>
    </row>
    <row r="62" spans="1:7" ht="15" customHeight="1">
      <c r="A62" s="103"/>
      <c r="B62" s="105"/>
      <c r="C62" s="105"/>
      <c r="D62" s="15">
        <f>$J$2-1</f>
        <v>2021</v>
      </c>
      <c r="E62" s="15">
        <f>$J$2</f>
        <v>2022</v>
      </c>
      <c r="F62" s="15">
        <f>$J$2-1</f>
        <v>2021</v>
      </c>
      <c r="G62" s="15">
        <f>$J$2</f>
        <v>2022</v>
      </c>
    </row>
    <row r="63" spans="1:7" ht="15" customHeight="1">
      <c r="A63" s="17">
        <v>1</v>
      </c>
      <c r="B63" s="17">
        <v>2</v>
      </c>
      <c r="C63" s="17" t="s">
        <v>34</v>
      </c>
      <c r="D63" s="17" t="s">
        <v>114</v>
      </c>
      <c r="E63" s="17" t="s">
        <v>114</v>
      </c>
      <c r="F63" s="17" t="s">
        <v>115</v>
      </c>
      <c r="G63" s="17" t="s">
        <v>115</v>
      </c>
    </row>
    <row r="64" spans="1:7" s="28" customFormat="1" ht="15" customHeight="1">
      <c r="A64" s="19" t="s">
        <v>116</v>
      </c>
      <c r="B64" s="29" t="s">
        <v>117</v>
      </c>
      <c r="C64" s="20" t="s">
        <v>118</v>
      </c>
      <c r="D64" s="39">
        <f>IFERROR(D42/D46,0)</f>
        <v>37.6</v>
      </c>
      <c r="E64" s="39">
        <f>IFERROR(E42/E46,0)</f>
        <v>38.354712643678162</v>
      </c>
      <c r="F64" s="39">
        <f>IFERROR(F42/(F48+F50),0)</f>
        <v>8.8054744525547441</v>
      </c>
      <c r="G64" s="39">
        <f>IFERROR(G42/(G48+G50),0)</f>
        <v>10.514014598540147</v>
      </c>
    </row>
    <row r="65" spans="1:10" s="28" customFormat="1" ht="15" customHeight="1">
      <c r="A65" s="19" t="s">
        <v>119</v>
      </c>
      <c r="B65" s="29" t="s">
        <v>120</v>
      </c>
      <c r="C65" s="20" t="s">
        <v>37</v>
      </c>
      <c r="D65" s="21">
        <f>D42</f>
        <v>312080</v>
      </c>
      <c r="E65" s="21">
        <f>E42</f>
        <v>333686</v>
      </c>
      <c r="F65" s="21">
        <f>F42</f>
        <v>241270</v>
      </c>
      <c r="G65" s="21">
        <f>G42</f>
        <v>288084</v>
      </c>
    </row>
    <row r="66" spans="1:10" s="28" customFormat="1" ht="15" customHeight="1">
      <c r="A66" s="19" t="s">
        <v>121</v>
      </c>
      <c r="B66" s="29" t="s">
        <v>122</v>
      </c>
      <c r="C66" s="20" t="s">
        <v>37</v>
      </c>
      <c r="D66" s="21">
        <v>31208</v>
      </c>
      <c r="E66" s="21">
        <v>33368.6</v>
      </c>
      <c r="F66" s="21">
        <v>10813.5</v>
      </c>
      <c r="G66" s="21">
        <v>11404.2</v>
      </c>
    </row>
    <row r="67" spans="1:10" ht="15" customHeight="1">
      <c r="A67" s="40" t="s">
        <v>123</v>
      </c>
      <c r="B67" s="41" t="s">
        <v>124</v>
      </c>
      <c r="C67" s="42" t="s">
        <v>125</v>
      </c>
      <c r="D67" s="43">
        <f>IFERROR((D66/D65)*100,0)</f>
        <v>10</v>
      </c>
      <c r="E67" s="43">
        <f>IFERROR((E66/E65)*100,0)</f>
        <v>10</v>
      </c>
      <c r="F67" s="43">
        <f>IFERROR((F66/F65)*100,0)</f>
        <v>4.4819082355866877</v>
      </c>
      <c r="G67" s="43">
        <f>IFERROR((G66/G65)*100,0)</f>
        <v>3.9586370641896114</v>
      </c>
    </row>
    <row r="68" spans="1:10" ht="15" customHeight="1">
      <c r="A68" s="40" t="s">
        <v>126</v>
      </c>
      <c r="B68" s="41" t="s">
        <v>127</v>
      </c>
      <c r="C68" s="42" t="s">
        <v>37</v>
      </c>
      <c r="D68" s="24"/>
      <c r="E68" s="24"/>
      <c r="F68" s="24"/>
      <c r="G68" s="24"/>
    </row>
    <row r="69" spans="1:10" s="28" customFormat="1" ht="15" customHeight="1">
      <c r="A69" s="19" t="s">
        <v>128</v>
      </c>
      <c r="B69" s="19" t="s">
        <v>129</v>
      </c>
      <c r="C69" s="20" t="s">
        <v>37</v>
      </c>
      <c r="D69" s="21">
        <f>SUM(D65:D66)</f>
        <v>343288</v>
      </c>
      <c r="E69" s="21">
        <f>SUM(E65:E66)</f>
        <v>367054.6</v>
      </c>
      <c r="F69" s="21">
        <f>SUM(F65:F66)</f>
        <v>252083.5</v>
      </c>
      <c r="G69" s="21">
        <f>SUM(G65:G66)</f>
        <v>299488.2</v>
      </c>
    </row>
    <row r="70" spans="1:10" ht="15" customHeight="1">
      <c r="A70" s="40" t="s">
        <v>130</v>
      </c>
      <c r="B70" s="40" t="s">
        <v>131</v>
      </c>
      <c r="C70" s="42" t="s">
        <v>132</v>
      </c>
      <c r="D70" s="24">
        <f>D46</f>
        <v>8300</v>
      </c>
      <c r="E70" s="24">
        <f>E46</f>
        <v>8700</v>
      </c>
      <c r="F70" s="24">
        <f>F48+F50</f>
        <v>27400</v>
      </c>
      <c r="G70" s="24">
        <f>G48+G50</f>
        <v>27400</v>
      </c>
    </row>
    <row r="71" spans="1:10" s="28" customFormat="1" ht="15" customHeight="1">
      <c r="A71" s="19" t="s">
        <v>133</v>
      </c>
      <c r="B71" s="19" t="s">
        <v>134</v>
      </c>
      <c r="C71" s="20" t="s">
        <v>118</v>
      </c>
      <c r="D71" s="39">
        <f>ROUND(IFERROR(D69/D70,0),2)</f>
        <v>41.36</v>
      </c>
      <c r="E71" s="39">
        <f>TRUNC(IFERROR(E69/E70,0),2)</f>
        <v>42.19</v>
      </c>
      <c r="F71" s="39">
        <f>ROUND(IFERROR(F69/F70,0),2)</f>
        <v>9.1999999999999993</v>
      </c>
      <c r="G71" s="39">
        <f>TRUNC(IFERROR(G69/G70,0),2)</f>
        <v>10.93</v>
      </c>
      <c r="I71" s="44"/>
      <c r="J71" s="44"/>
    </row>
    <row r="72" spans="1:10" s="28" customFormat="1" ht="15" customHeight="1">
      <c r="A72" s="19" t="s">
        <v>135</v>
      </c>
      <c r="B72" s="19" t="s">
        <v>136</v>
      </c>
      <c r="C72" s="20" t="s">
        <v>118</v>
      </c>
      <c r="D72" s="39">
        <f>D71*(1+$I$2)</f>
        <v>45.496000000000002</v>
      </c>
      <c r="E72" s="39">
        <f>E71*(1+$I$2)</f>
        <v>46.408999999999999</v>
      </c>
      <c r="F72" s="39">
        <f>F71*(1+$I$2)</f>
        <v>10.119999999999999</v>
      </c>
      <c r="G72" s="39">
        <f>G71*(1+$I$2)</f>
        <v>12.023000000000001</v>
      </c>
    </row>
    <row r="73" spans="1:10" s="28" customFormat="1" ht="15" customHeight="1">
      <c r="A73" s="19" t="s">
        <v>137</v>
      </c>
      <c r="B73" s="19" t="s">
        <v>138</v>
      </c>
      <c r="C73" s="20" t="s">
        <v>118</v>
      </c>
      <c r="D73" s="39"/>
      <c r="E73" s="39">
        <f>+E71-D71</f>
        <v>0.82999999999999829</v>
      </c>
      <c r="F73" s="39"/>
      <c r="G73" s="39">
        <f>+G71-F71</f>
        <v>1.7300000000000004</v>
      </c>
    </row>
    <row r="74" spans="1:10" s="28" customFormat="1" ht="15" customHeight="1">
      <c r="A74" s="19" t="s">
        <v>139</v>
      </c>
      <c r="B74" s="19" t="s">
        <v>140</v>
      </c>
      <c r="C74" s="20" t="s">
        <v>125</v>
      </c>
      <c r="D74" s="39"/>
      <c r="E74" s="45">
        <f>IFERROR(E73/D71,0)</f>
        <v>2.006769825918758E-2</v>
      </c>
      <c r="F74" s="39"/>
      <c r="G74" s="45">
        <f>IFERROR(G73/F71,0)</f>
        <v>0.18804347826086962</v>
      </c>
    </row>
    <row r="76" spans="1:10" ht="15" customHeight="1" outlineLevel="1">
      <c r="A76" s="106" t="str">
        <f>CONCATENATE("Návrh kalkulace (výpočet) cen pro vodné a stočné pro rok ",$J$2," při použití dvousložkové")</f>
        <v>Návrh kalkulace (výpočet) cen pro vodné a stočné pro rok 2022 při použití dvousložkové</v>
      </c>
      <c r="B76" s="106"/>
      <c r="C76" s="106"/>
      <c r="D76" s="106"/>
      <c r="E76" s="106"/>
      <c r="F76" s="106"/>
      <c r="G76" s="106"/>
    </row>
    <row r="77" spans="1:10" ht="15" customHeight="1" outlineLevel="1">
      <c r="A77" s="106" t="s">
        <v>141</v>
      </c>
      <c r="B77" s="106"/>
      <c r="C77" s="106"/>
      <c r="D77" s="106"/>
      <c r="E77" s="106"/>
      <c r="F77" s="106"/>
      <c r="G77" s="106"/>
    </row>
    <row r="78" spans="1:10" ht="15" customHeight="1" outlineLevel="1">
      <c r="G78" s="5" t="s">
        <v>142</v>
      </c>
    </row>
    <row r="79" spans="1:10" ht="15" customHeight="1" outlineLevel="1">
      <c r="A79" s="102" t="s">
        <v>27</v>
      </c>
      <c r="B79" s="104" t="s">
        <v>143</v>
      </c>
      <c r="C79" s="100"/>
      <c r="D79" s="100"/>
      <c r="E79" s="100"/>
      <c r="F79" s="100"/>
      <c r="G79" s="101"/>
    </row>
    <row r="80" spans="1:10" ht="15" customHeight="1" outlineLevel="1">
      <c r="A80" s="103"/>
      <c r="B80" s="105" t="s">
        <v>113</v>
      </c>
      <c r="C80" s="105" t="s">
        <v>30</v>
      </c>
      <c r="D80" s="100" t="s">
        <v>31</v>
      </c>
      <c r="E80" s="101"/>
      <c r="F80" s="100" t="s">
        <v>32</v>
      </c>
      <c r="G80" s="101"/>
    </row>
    <row r="81" spans="1:10" ht="15" customHeight="1" outlineLevel="1">
      <c r="A81" s="103"/>
      <c r="B81" s="105"/>
      <c r="C81" s="105"/>
      <c r="D81" s="15">
        <f>$J$2-1</f>
        <v>2021</v>
      </c>
      <c r="E81" s="15">
        <f>$J$2</f>
        <v>2022</v>
      </c>
      <c r="F81" s="15">
        <f>$J$2-1</f>
        <v>2021</v>
      </c>
      <c r="G81" s="15">
        <f>$J$2</f>
        <v>2022</v>
      </c>
    </row>
    <row r="82" spans="1:10" ht="15" customHeight="1" outlineLevel="1">
      <c r="A82" s="17">
        <v>1</v>
      </c>
      <c r="B82" s="17">
        <v>2</v>
      </c>
      <c r="C82" s="17" t="s">
        <v>34</v>
      </c>
      <c r="D82" s="17" t="s">
        <v>114</v>
      </c>
      <c r="E82" s="17" t="s">
        <v>144</v>
      </c>
      <c r="F82" s="17" t="s">
        <v>145</v>
      </c>
      <c r="G82" s="17" t="s">
        <v>145</v>
      </c>
    </row>
    <row r="83" spans="1:10" s="28" customFormat="1" ht="15" customHeight="1" outlineLevel="1">
      <c r="A83" s="19" t="s">
        <v>146</v>
      </c>
      <c r="B83" s="29" t="s">
        <v>147</v>
      </c>
      <c r="C83" s="20" t="s">
        <v>37</v>
      </c>
      <c r="D83" s="21">
        <v>40363.254466509999</v>
      </c>
      <c r="E83" s="21">
        <v>40773.254466509999</v>
      </c>
      <c r="F83" s="21">
        <v>32908.014419648462</v>
      </c>
      <c r="G83" s="21">
        <v>39161.023047745082</v>
      </c>
    </row>
    <row r="84" spans="1:10" ht="15" customHeight="1" outlineLevel="1">
      <c r="A84" s="40" t="s">
        <v>148</v>
      </c>
      <c r="B84" s="41" t="s">
        <v>149</v>
      </c>
      <c r="C84" s="42" t="s">
        <v>125</v>
      </c>
      <c r="D84" s="43">
        <f>IFERROR((D83/D69)*100,0)</f>
        <v>11.757840200213815</v>
      </c>
      <c r="E84" s="43">
        <f>IFERROR((E83/E69)*100,0)</f>
        <v>11.108225987771302</v>
      </c>
      <c r="F84" s="43">
        <f>IFERROR((F83/F69)*100,0)</f>
        <v>13.05441031231654</v>
      </c>
      <c r="G84" s="43">
        <f>IFERROR((G83/G69)*100,0)</f>
        <v>13.075981974496854</v>
      </c>
    </row>
    <row r="85" spans="1:10" s="28" customFormat="1" ht="15" customHeight="1" outlineLevel="1">
      <c r="A85" s="19" t="s">
        <v>150</v>
      </c>
      <c r="B85" s="29" t="s">
        <v>151</v>
      </c>
      <c r="C85" s="20" t="s">
        <v>37</v>
      </c>
      <c r="D85" s="21">
        <f>D69-D83</f>
        <v>302924.74553348997</v>
      </c>
      <c r="E85" s="21">
        <f>E69-E83</f>
        <v>326281.34553348995</v>
      </c>
      <c r="F85" s="21">
        <f>F69-F83</f>
        <v>219175.48558035155</v>
      </c>
      <c r="G85" s="21">
        <f>G69-G83</f>
        <v>260327.17695225493</v>
      </c>
    </row>
    <row r="86" spans="1:10" ht="15" customHeight="1" outlineLevel="1">
      <c r="A86" s="40" t="s">
        <v>152</v>
      </c>
      <c r="B86" s="41" t="s">
        <v>153</v>
      </c>
      <c r="C86" s="42" t="s">
        <v>37</v>
      </c>
      <c r="D86" s="24">
        <f>D65*(1-D84%)</f>
        <v>275386.13230317272</v>
      </c>
      <c r="E86" s="24">
        <f>E65*(1-E84%)</f>
        <v>296619.40503044543</v>
      </c>
      <c r="F86" s="24">
        <f>F65*(1-F84%)</f>
        <v>209773.62423947389</v>
      </c>
      <c r="G86" s="24">
        <f>G65*(1-G84%)</f>
        <v>250414.18808859048</v>
      </c>
    </row>
    <row r="87" spans="1:10" ht="15" customHeight="1" outlineLevel="1">
      <c r="A87" s="40" t="s">
        <v>154</v>
      </c>
      <c r="B87" s="41" t="s">
        <v>155</v>
      </c>
      <c r="C87" s="42" t="s">
        <v>37</v>
      </c>
      <c r="D87" s="24">
        <f>D85-D86</f>
        <v>27538.613230317249</v>
      </c>
      <c r="E87" s="24">
        <f>E85-E86</f>
        <v>29661.94050304452</v>
      </c>
      <c r="F87" s="24">
        <f>F85-F86</f>
        <v>9401.8613408776582</v>
      </c>
      <c r="G87" s="24">
        <f>G85-G86</f>
        <v>9912.9888636644464</v>
      </c>
    </row>
    <row r="88" spans="1:10" s="28" customFormat="1" ht="15" customHeight="1" outlineLevel="1">
      <c r="A88" s="46" t="s">
        <v>156</v>
      </c>
      <c r="B88" s="46" t="s">
        <v>157</v>
      </c>
      <c r="C88" s="47" t="s">
        <v>118</v>
      </c>
      <c r="D88" s="48">
        <f>ROUND(IFERROR(D85/D70,0),2)</f>
        <v>36.5</v>
      </c>
      <c r="E88" s="48">
        <f>ROUND(IFERROR(E85/E70,0),2)</f>
        <v>37.5</v>
      </c>
      <c r="F88" s="48">
        <f>ROUND(IFERROR(F85/F70,0),2)</f>
        <v>8</v>
      </c>
      <c r="G88" s="48">
        <f>ROUND(IFERROR(G85/G70,0),2)</f>
        <v>9.5</v>
      </c>
      <c r="I88" s="44"/>
      <c r="J88" s="44"/>
    </row>
    <row r="89" spans="1:10" s="28" customFormat="1" ht="15" customHeight="1" outlineLevel="1">
      <c r="A89" s="46" t="s">
        <v>158</v>
      </c>
      <c r="B89" s="46" t="s">
        <v>159</v>
      </c>
      <c r="C89" s="47" t="s">
        <v>118</v>
      </c>
      <c r="D89" s="48">
        <f>D88*(1+$I$2)</f>
        <v>40.150000000000006</v>
      </c>
      <c r="E89" s="48">
        <f>E88*(1+$I$2)</f>
        <v>41.25</v>
      </c>
      <c r="F89" s="48">
        <f>F88*(1+$I$2)</f>
        <v>8.8000000000000007</v>
      </c>
      <c r="G89" s="48">
        <f>G88*(1+$I$2)</f>
        <v>10.450000000000001</v>
      </c>
    </row>
    <row r="90" spans="1:10" s="28" customFormat="1" ht="15" customHeight="1" outlineLevel="1">
      <c r="A90" s="49" t="s">
        <v>160</v>
      </c>
      <c r="B90" s="19" t="s">
        <v>161</v>
      </c>
      <c r="C90" s="20" t="s">
        <v>118</v>
      </c>
      <c r="D90" s="39"/>
      <c r="E90" s="39">
        <f>+E88-D88</f>
        <v>1</v>
      </c>
      <c r="F90" s="39"/>
      <c r="G90" s="39">
        <f>+G88-F88</f>
        <v>1.5</v>
      </c>
      <c r="I90" s="3"/>
    </row>
    <row r="91" spans="1:10" s="28" customFormat="1" ht="15" customHeight="1" outlineLevel="1">
      <c r="A91" s="49" t="s">
        <v>162</v>
      </c>
      <c r="B91" s="19" t="s">
        <v>140</v>
      </c>
      <c r="C91" s="20" t="s">
        <v>125</v>
      </c>
      <c r="D91" s="39"/>
      <c r="E91" s="45">
        <f>IFERROR(E90/D88,0)</f>
        <v>2.7397260273972601E-2</v>
      </c>
      <c r="F91" s="39"/>
      <c r="G91" s="45">
        <f>IFERROR(G90/F88,0)</f>
        <v>0.1875</v>
      </c>
    </row>
    <row r="92" spans="1:10" ht="20.100000000000001" customHeight="1" outlineLevel="1">
      <c r="A92" s="109" t="s">
        <v>163</v>
      </c>
      <c r="B92" s="111" t="s">
        <v>164</v>
      </c>
      <c r="C92" s="112"/>
      <c r="D92" s="107" t="s">
        <v>165</v>
      </c>
      <c r="E92" s="107" t="s">
        <v>165</v>
      </c>
      <c r="F92" s="107" t="s">
        <v>165</v>
      </c>
      <c r="G92" s="107" t="s">
        <v>165</v>
      </c>
    </row>
    <row r="93" spans="1:10" ht="20.100000000000001" customHeight="1" outlineLevel="1">
      <c r="A93" s="110"/>
      <c r="B93" s="113"/>
      <c r="C93" s="114"/>
      <c r="D93" s="108"/>
      <c r="E93" s="108"/>
      <c r="F93" s="108"/>
      <c r="G93" s="108"/>
    </row>
  </sheetData>
  <mergeCells count="32">
    <mergeCell ref="F92:F93"/>
    <mergeCell ref="G92:G93"/>
    <mergeCell ref="A92:A93"/>
    <mergeCell ref="B92:C93"/>
    <mergeCell ref="D92:D93"/>
    <mergeCell ref="E92:E93"/>
    <mergeCell ref="A76:G76"/>
    <mergeCell ref="A77:G77"/>
    <mergeCell ref="A79:A81"/>
    <mergeCell ref="B79:G79"/>
    <mergeCell ref="B80:B81"/>
    <mergeCell ref="C80:C81"/>
    <mergeCell ref="D80:E80"/>
    <mergeCell ref="F80:G80"/>
    <mergeCell ref="A60:A62"/>
    <mergeCell ref="B60:G60"/>
    <mergeCell ref="B61:B62"/>
    <mergeCell ref="C61:C62"/>
    <mergeCell ref="D61:E61"/>
    <mergeCell ref="F61:G61"/>
    <mergeCell ref="A13:A16"/>
    <mergeCell ref="B13:G13"/>
    <mergeCell ref="B14:B16"/>
    <mergeCell ref="C14:C16"/>
    <mergeCell ref="D14:E14"/>
    <mergeCell ref="F14:G14"/>
    <mergeCell ref="C11:G11"/>
    <mergeCell ref="A3:G3"/>
    <mergeCell ref="C6:G6"/>
    <mergeCell ref="C7:E7"/>
    <mergeCell ref="C8:E8"/>
    <mergeCell ref="C9:G10"/>
  </mergeCells>
  <conditionalFormatting sqref="P43:Q45">
    <cfRule type="cellIs" dxfId="1" priority="1" operator="equal">
      <formula>"CHYBA"</formula>
    </cfRule>
  </conditionalFormatting>
  <dataValidations count="1">
    <dataValidation type="list" allowBlank="1" showInputMessage="1" showErrorMessage="1" sqref="C8:E8">
      <formula1>#REF!</formula1>
    </dataValidation>
  </dataValidations>
  <printOptions horizontalCentered="1"/>
  <pageMargins left="0.59055118110236227" right="0.59055118110236227" top="0.59055118110236227" bottom="0.59055118110236227" header="0.31496062992125984" footer="0.31496062992125984"/>
  <pageSetup paperSize="9" scale="85" orientation="portrait" blackAndWhite="1" r:id="rId1"/>
  <headerFooter>
    <oddFooter>&amp;RZpracoval ČEVAK, a.s.</oddFooter>
  </headerFooter>
  <rowBreaks count="1" manualBreakCount="1">
    <brk id="54" max="10" man="1"/>
  </rowBreaks>
  <legacyDrawing r:id="rId2"/>
</worksheet>
</file>

<file path=xl/worksheets/sheet3.xml><?xml version="1.0" encoding="utf-8"?>
<worksheet xmlns="http://schemas.openxmlformats.org/spreadsheetml/2006/main" xmlns:r="http://schemas.openxmlformats.org/officeDocument/2006/relationships">
  <sheetPr codeName="List3"/>
  <dimension ref="A1:S17"/>
  <sheetViews>
    <sheetView showGridLines="0" workbookViewId="0">
      <selection sqref="A1:G1"/>
    </sheetView>
  </sheetViews>
  <sheetFormatPr defaultColWidth="9.140625" defaultRowHeight="15" customHeight="1" outlineLevelRow="1" outlineLevelCol="1"/>
  <cols>
    <col min="1" max="1" width="20.7109375" style="50" customWidth="1"/>
    <col min="2" max="7" width="10.7109375" style="50" customWidth="1"/>
    <col min="8" max="16" width="9.140625" style="50"/>
    <col min="17" max="18" width="0" style="50" hidden="1" customWidth="1" outlineLevel="1"/>
    <col min="19" max="19" width="9.140625" style="50" collapsed="1"/>
    <col min="20" max="16384" width="9.140625" style="50"/>
  </cols>
  <sheetData>
    <row r="1" spans="1:18" ht="15" customHeight="1">
      <c r="A1" s="115" t="s">
        <v>166</v>
      </c>
      <c r="B1" s="115"/>
      <c r="C1" s="115"/>
      <c r="D1" s="115"/>
      <c r="E1" s="115"/>
      <c r="F1" s="115"/>
      <c r="G1" s="115"/>
    </row>
    <row r="2" spans="1:18" ht="15" customHeight="1">
      <c r="A2" s="116" t="s">
        <v>167</v>
      </c>
      <c r="B2" s="116"/>
      <c r="C2" s="116"/>
      <c r="D2" s="116"/>
      <c r="E2" s="116"/>
      <c r="F2" s="116"/>
      <c r="G2" s="116"/>
    </row>
    <row r="3" spans="1:18" ht="15" customHeight="1">
      <c r="A3" s="116" t="str">
        <f>CONCATENATE("pro městys"," ",kalkulace!C8)</f>
        <v>pro městys Stádlec</v>
      </c>
      <c r="B3" s="116"/>
      <c r="C3" s="116"/>
      <c r="D3" s="116"/>
      <c r="E3" s="116"/>
      <c r="F3" s="116"/>
      <c r="G3" s="116"/>
    </row>
    <row r="5" spans="1:18" ht="15" customHeight="1">
      <c r="A5" s="117" t="s">
        <v>168</v>
      </c>
      <c r="B5" s="118" t="s">
        <v>169</v>
      </c>
      <c r="C5" s="118"/>
      <c r="D5" s="118" t="s">
        <v>31</v>
      </c>
      <c r="E5" s="118"/>
      <c r="F5" s="118" t="s">
        <v>32</v>
      </c>
      <c r="G5" s="118"/>
    </row>
    <row r="6" spans="1:18" ht="15" customHeight="1">
      <c r="A6" s="117"/>
      <c r="B6" s="51">
        <f>kalkulace!$J$2-1</f>
        <v>2021</v>
      </c>
      <c r="C6" s="51">
        <f>kalkulace!$J$2</f>
        <v>2022</v>
      </c>
      <c r="D6" s="51">
        <f>kalkulace!$J$2-1</f>
        <v>2021</v>
      </c>
      <c r="E6" s="51">
        <f>kalkulace!$J$2</f>
        <v>2022</v>
      </c>
      <c r="F6" s="51">
        <f>kalkulace!$J$2-1</f>
        <v>2021</v>
      </c>
      <c r="G6" s="51">
        <f>kalkulace!$J$2</f>
        <v>2022</v>
      </c>
    </row>
    <row r="7" spans="1:18" ht="15" customHeight="1">
      <c r="A7" s="51" t="s">
        <v>82</v>
      </c>
      <c r="B7" s="52">
        <f>D7+F7</f>
        <v>257</v>
      </c>
      <c r="C7" s="52">
        <f t="shared" ref="C7:C15" si="0">E7+G7</f>
        <v>257</v>
      </c>
      <c r="D7" s="53">
        <v>204.99999999999997</v>
      </c>
      <c r="E7" s="53">
        <v>205.00000000000003</v>
      </c>
      <c r="F7" s="53">
        <v>52.000000000000014</v>
      </c>
      <c r="G7" s="53">
        <v>52</v>
      </c>
    </row>
    <row r="8" spans="1:18" ht="15" hidden="1" customHeight="1" outlineLevel="1">
      <c r="A8" s="51" t="s">
        <v>85</v>
      </c>
      <c r="B8" s="52">
        <f t="shared" ref="B8:B15" si="1">D8+F8</f>
        <v>0</v>
      </c>
      <c r="C8" s="52">
        <f t="shared" si="0"/>
        <v>0</v>
      </c>
      <c r="D8" s="53"/>
      <c r="E8" s="53"/>
      <c r="F8" s="53"/>
      <c r="G8" s="53"/>
    </row>
    <row r="9" spans="1:18" ht="15" customHeight="1" collapsed="1">
      <c r="A9" s="51" t="s">
        <v>87</v>
      </c>
      <c r="B9" s="52">
        <f t="shared" si="1"/>
        <v>2250.9557899119341</v>
      </c>
      <c r="C9" s="52">
        <f t="shared" si="0"/>
        <v>2251.1253388277596</v>
      </c>
      <c r="D9" s="53">
        <v>1906.0848221699985</v>
      </c>
      <c r="E9" s="53">
        <v>1906.0848221699991</v>
      </c>
      <c r="F9" s="53">
        <v>344.87096774193566</v>
      </c>
      <c r="G9" s="53">
        <v>345.04051665776063</v>
      </c>
    </row>
    <row r="10" spans="1:18" ht="15" hidden="1" customHeight="1" outlineLevel="1">
      <c r="A10" s="51" t="s">
        <v>92</v>
      </c>
      <c r="B10" s="52">
        <f t="shared" si="1"/>
        <v>0</v>
      </c>
      <c r="C10" s="52">
        <f t="shared" si="0"/>
        <v>0</v>
      </c>
      <c r="D10" s="53"/>
      <c r="E10" s="53"/>
      <c r="F10" s="53"/>
      <c r="G10" s="53"/>
    </row>
    <row r="11" spans="1:18" ht="15" hidden="1" customHeight="1" outlineLevel="1">
      <c r="A11" s="51" t="s">
        <v>95</v>
      </c>
      <c r="B11" s="52">
        <f t="shared" si="1"/>
        <v>0</v>
      </c>
      <c r="C11" s="52">
        <f t="shared" si="0"/>
        <v>0</v>
      </c>
      <c r="D11" s="53"/>
      <c r="E11" s="53"/>
      <c r="F11" s="53"/>
      <c r="G11" s="53"/>
    </row>
    <row r="12" spans="1:18" ht="15" hidden="1" customHeight="1" outlineLevel="1">
      <c r="A12" s="51" t="s">
        <v>97</v>
      </c>
      <c r="B12" s="52">
        <f t="shared" si="1"/>
        <v>0</v>
      </c>
      <c r="C12" s="52">
        <f t="shared" si="0"/>
        <v>0</v>
      </c>
      <c r="D12" s="53"/>
      <c r="E12" s="53"/>
      <c r="F12" s="53"/>
      <c r="G12" s="53"/>
    </row>
    <row r="13" spans="1:18" ht="15" hidden="1" customHeight="1" outlineLevel="1">
      <c r="A13" s="51" t="s">
        <v>99</v>
      </c>
      <c r="B13" s="52">
        <f t="shared" si="1"/>
        <v>0</v>
      </c>
      <c r="C13" s="52">
        <f t="shared" si="0"/>
        <v>0</v>
      </c>
      <c r="D13" s="53"/>
      <c r="E13" s="53"/>
      <c r="F13" s="53"/>
      <c r="G13" s="53"/>
    </row>
    <row r="14" spans="1:18" ht="15" hidden="1" customHeight="1" outlineLevel="1">
      <c r="A14" s="51" t="s">
        <v>100</v>
      </c>
      <c r="B14" s="52">
        <f t="shared" si="1"/>
        <v>0</v>
      </c>
      <c r="C14" s="52">
        <f t="shared" si="0"/>
        <v>0</v>
      </c>
      <c r="D14" s="53"/>
      <c r="E14" s="53"/>
      <c r="F14" s="53"/>
      <c r="G14" s="53"/>
    </row>
    <row r="15" spans="1:18" ht="15" hidden="1" customHeight="1" outlineLevel="1">
      <c r="A15" s="51" t="s">
        <v>170</v>
      </c>
      <c r="B15" s="52">
        <f t="shared" si="1"/>
        <v>0</v>
      </c>
      <c r="C15" s="52">
        <f t="shared" si="0"/>
        <v>0</v>
      </c>
      <c r="D15" s="53"/>
      <c r="E15" s="53"/>
      <c r="F15" s="53"/>
      <c r="G15" s="53"/>
    </row>
    <row r="16" spans="1:18" ht="15" customHeight="1" collapsed="1">
      <c r="D16" s="54" t="s">
        <v>171</v>
      </c>
      <c r="E16" s="51" t="s">
        <v>172</v>
      </c>
      <c r="F16" s="55">
        <f>kalkulace!F71-kalkulace!F88</f>
        <v>1.1999999999999993</v>
      </c>
      <c r="G16" s="55">
        <f>kalkulace!G71-kalkulace!G88</f>
        <v>1.4299999999999997</v>
      </c>
      <c r="Q16" s="56">
        <f>+MAX(E7:E29)</f>
        <v>1906.0848221699991</v>
      </c>
      <c r="R16" s="56">
        <f>+MAX(G7:G29)</f>
        <v>345.04051665776063</v>
      </c>
    </row>
    <row r="17" spans="1:3" ht="15" customHeight="1">
      <c r="A17" s="57"/>
      <c r="C17" s="57"/>
    </row>
  </sheetData>
  <mergeCells count="7">
    <mergeCell ref="A1:G1"/>
    <mergeCell ref="A2:G2"/>
    <mergeCell ref="A3:G3"/>
    <mergeCell ref="A5:A6"/>
    <mergeCell ref="B5:C5"/>
    <mergeCell ref="D5:E5"/>
    <mergeCell ref="F5:G5"/>
  </mergeCells>
  <pageMargins left="0.70866141732283472" right="0.70866141732283472" top="0.78740157480314965" bottom="0.78740157480314965"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dimension ref="A1:D8"/>
  <sheetViews>
    <sheetView workbookViewId="0"/>
  </sheetViews>
  <sheetFormatPr defaultRowHeight="15"/>
  <cols>
    <col min="1" max="1" width="29.85546875" customWidth="1"/>
    <col min="2" max="3" width="14.5703125" customWidth="1"/>
    <col min="4" max="4" width="11.140625" customWidth="1"/>
  </cols>
  <sheetData>
    <row r="1" spans="1:4">
      <c r="A1" s="58" t="s">
        <v>173</v>
      </c>
    </row>
    <row r="2" spans="1:4">
      <c r="B2" s="59">
        <v>2021</v>
      </c>
      <c r="C2" s="59">
        <v>2022</v>
      </c>
      <c r="D2" s="59" t="s">
        <v>174</v>
      </c>
    </row>
    <row r="3" spans="1:4">
      <c r="A3" t="s">
        <v>175</v>
      </c>
      <c r="B3" s="60">
        <v>9800</v>
      </c>
      <c r="C3" s="60">
        <v>10300</v>
      </c>
      <c r="D3" s="60">
        <f>C3-B3</f>
        <v>500</v>
      </c>
    </row>
    <row r="4" spans="1:4">
      <c r="A4" t="s">
        <v>176</v>
      </c>
      <c r="B4" s="61">
        <v>13.8</v>
      </c>
      <c r="C4" s="61">
        <v>15.04</v>
      </c>
      <c r="D4" s="61">
        <f>C4-B4</f>
        <v>1.2399999999999984</v>
      </c>
    </row>
    <row r="5" spans="1:4">
      <c r="A5" t="s">
        <v>177</v>
      </c>
      <c r="B5" s="60">
        <f>B3*B4</f>
        <v>135240</v>
      </c>
      <c r="C5" s="60">
        <f>C3*C4</f>
        <v>154912</v>
      </c>
      <c r="D5" s="60">
        <f>C5-B5</f>
        <v>19672</v>
      </c>
    </row>
    <row r="6" spans="1:4">
      <c r="A6" t="s">
        <v>178</v>
      </c>
      <c r="B6" s="60">
        <v>38017.689825547088</v>
      </c>
      <c r="C6" s="60">
        <v>28714.204612335718</v>
      </c>
      <c r="D6" s="62">
        <f>C6-B6</f>
        <v>-9303.4852132113701</v>
      </c>
    </row>
    <row r="7" spans="1:4">
      <c r="A7" t="s">
        <v>179</v>
      </c>
      <c r="B7" s="60">
        <f>B6+B5</f>
        <v>173257.6898255471</v>
      </c>
      <c r="C7" s="60">
        <f>C6+C5</f>
        <v>183626.20461233571</v>
      </c>
      <c r="D7" s="60">
        <f>C7-B7</f>
        <v>10368.514786788612</v>
      </c>
    </row>
    <row r="8" spans="1:4">
      <c r="B8" s="64">
        <f>+B7/B3</f>
        <v>17.679356104647663</v>
      </c>
      <c r="C8" s="64">
        <f>+C7/C3</f>
        <v>17.827786855566575</v>
      </c>
      <c r="D8" s="64">
        <f>+C8-B8</f>
        <v>0.14843075091891222</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H10"/>
  <sheetViews>
    <sheetView workbookViewId="0"/>
  </sheetViews>
  <sheetFormatPr defaultRowHeight="15"/>
  <cols>
    <col min="1" max="1" width="36.85546875" customWidth="1"/>
    <col min="3" max="3" width="9.140625" customWidth="1"/>
    <col min="5" max="5" width="9.85546875" customWidth="1"/>
    <col min="6" max="6" width="9.7109375" customWidth="1"/>
  </cols>
  <sheetData>
    <row r="1" spans="1:8">
      <c r="A1" s="58" t="s">
        <v>180</v>
      </c>
    </row>
    <row r="2" spans="1:8">
      <c r="A2" s="58"/>
    </row>
    <row r="3" spans="1:8">
      <c r="B3" s="58">
        <v>2016</v>
      </c>
      <c r="C3" s="63">
        <v>2017</v>
      </c>
      <c r="D3" s="58">
        <v>2018</v>
      </c>
      <c r="E3" s="58">
        <v>2019</v>
      </c>
      <c r="F3" s="58">
        <v>2020</v>
      </c>
      <c r="G3" s="58">
        <v>2021</v>
      </c>
      <c r="H3" s="58">
        <v>2022</v>
      </c>
    </row>
    <row r="4" spans="1:8">
      <c r="A4" t="s">
        <v>181</v>
      </c>
      <c r="B4" s="2">
        <v>37.880000000000003</v>
      </c>
      <c r="C4" s="2">
        <v>37.880000000000003</v>
      </c>
      <c r="D4">
        <v>37.880000000000003</v>
      </c>
      <c r="E4" s="64">
        <v>33.5</v>
      </c>
      <c r="F4">
        <v>33.909999999999997</v>
      </c>
      <c r="G4" s="64">
        <v>36.5</v>
      </c>
      <c r="H4" s="64">
        <v>37.5</v>
      </c>
    </row>
    <row r="5" spans="1:8">
      <c r="A5" t="s">
        <v>182</v>
      </c>
      <c r="C5" s="2"/>
      <c r="E5">
        <v>205</v>
      </c>
      <c r="F5">
        <v>205</v>
      </c>
      <c r="G5">
        <v>205</v>
      </c>
      <c r="H5">
        <v>205</v>
      </c>
    </row>
    <row r="6" spans="1:8">
      <c r="A6" t="s">
        <v>183</v>
      </c>
      <c r="B6" s="65">
        <v>7</v>
      </c>
      <c r="C6" s="65">
        <v>7</v>
      </c>
      <c r="D6" s="64">
        <v>7.3</v>
      </c>
      <c r="E6" s="64">
        <v>7.3</v>
      </c>
      <c r="F6" s="64">
        <v>7.6</v>
      </c>
      <c r="G6" s="64">
        <v>8</v>
      </c>
      <c r="H6" s="64">
        <v>9.5</v>
      </c>
    </row>
    <row r="7" spans="1:8">
      <c r="A7" t="s">
        <v>182</v>
      </c>
      <c r="B7" s="65"/>
      <c r="C7" s="65"/>
      <c r="D7" s="64"/>
      <c r="E7" s="64"/>
      <c r="F7">
        <v>52</v>
      </c>
      <c r="G7">
        <v>52</v>
      </c>
      <c r="H7">
        <v>52</v>
      </c>
    </row>
    <row r="8" spans="1:8">
      <c r="A8" s="58" t="s">
        <v>184</v>
      </c>
      <c r="B8" s="58">
        <f t="shared" ref="B8:H8" si="0">B4+B6</f>
        <v>44.88</v>
      </c>
      <c r="C8" s="58">
        <f t="shared" si="0"/>
        <v>44.88</v>
      </c>
      <c r="D8" s="58">
        <f t="shared" si="0"/>
        <v>45.18</v>
      </c>
      <c r="E8" s="66">
        <f t="shared" si="0"/>
        <v>40.799999999999997</v>
      </c>
      <c r="F8" s="58">
        <f t="shared" si="0"/>
        <v>41.51</v>
      </c>
      <c r="G8" s="66">
        <f t="shared" si="0"/>
        <v>44.5</v>
      </c>
      <c r="H8" s="66">
        <f t="shared" si="0"/>
        <v>47</v>
      </c>
    </row>
    <row r="9" spans="1:8">
      <c r="A9" t="s">
        <v>185</v>
      </c>
      <c r="C9" s="64">
        <f t="shared" ref="C9:H9" si="1">C8-B8</f>
        <v>0</v>
      </c>
      <c r="D9" s="64">
        <f t="shared" si="1"/>
        <v>0.29999999999999716</v>
      </c>
      <c r="E9">
        <f t="shared" si="1"/>
        <v>-4.3800000000000026</v>
      </c>
      <c r="F9">
        <f t="shared" si="1"/>
        <v>0.71000000000000085</v>
      </c>
      <c r="G9" s="64">
        <f t="shared" si="1"/>
        <v>2.990000000000002</v>
      </c>
      <c r="H9" s="64">
        <f t="shared" si="1"/>
        <v>2.5</v>
      </c>
    </row>
    <row r="10" spans="1:8">
      <c r="A10" t="s">
        <v>186</v>
      </c>
      <c r="C10" s="67">
        <f>C9/B8</f>
        <v>0</v>
      </c>
      <c r="D10" s="67">
        <f t="shared" ref="D10:H10" si="2">D9/C8</f>
        <v>6.6844919786095622E-3</v>
      </c>
      <c r="E10" s="67">
        <f t="shared" si="2"/>
        <v>-9.6945551128818114E-2</v>
      </c>
      <c r="F10" s="67">
        <f t="shared" si="2"/>
        <v>1.7401960784313747E-2</v>
      </c>
      <c r="G10" s="67">
        <f t="shared" si="2"/>
        <v>7.2030835943146285E-2</v>
      </c>
      <c r="H10" s="67">
        <f t="shared" si="2"/>
        <v>5.6179775280898875E-2</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16"/>
  <sheetViews>
    <sheetView workbookViewId="0"/>
  </sheetViews>
  <sheetFormatPr defaultRowHeight="15"/>
  <cols>
    <col min="1" max="1" width="37.85546875" customWidth="1"/>
  </cols>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1" spans="1:1">
      <c r="A11" t="s">
        <v>196</v>
      </c>
    </row>
    <row r="12" spans="1:1">
      <c r="A12" t="s">
        <v>197</v>
      </c>
    </row>
    <row r="13" spans="1:1">
      <c r="A13" t="s">
        <v>198</v>
      </c>
    </row>
    <row r="14" spans="1:1">
      <c r="A14" t="s">
        <v>193</v>
      </c>
    </row>
    <row r="15" spans="1:1">
      <c r="A15" t="s">
        <v>199</v>
      </c>
    </row>
    <row r="16" spans="1:1">
      <c r="A16" t="s">
        <v>200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92D050"/>
  </sheetPr>
  <dimension ref="A1:R94"/>
  <sheetViews>
    <sheetView showGridLines="0" topLeftCell="A40" zoomScaleNormal="100" workbookViewId="0"/>
  </sheetViews>
  <sheetFormatPr defaultColWidth="9.140625" defaultRowHeight="15" customHeight="1" outlineLevelRow="1" outlineLevelCol="1"/>
  <cols>
    <col min="1" max="1" width="7.28515625" style="3" customWidth="1"/>
    <col min="2" max="2" width="47.28515625" style="3" bestFit="1" customWidth="1"/>
    <col min="3" max="3" width="8.7109375" style="3" customWidth="1"/>
    <col min="4" max="7" width="10.7109375" style="3" customWidth="1"/>
    <col min="8" max="8" width="9.140625" style="57"/>
    <col min="9" max="11" width="0" style="57" hidden="1" customWidth="1" outlineLevel="1"/>
    <col min="12" max="13" width="12" style="57" hidden="1" customWidth="1" outlineLevel="1"/>
    <col min="14" max="17" width="0" style="57" hidden="1" customWidth="1" outlineLevel="1"/>
    <col min="18" max="18" width="9.140625" style="57" collapsed="1"/>
    <col min="19" max="16384" width="9.140625" style="3"/>
  </cols>
  <sheetData>
    <row r="1" spans="1:18" ht="15" customHeight="1">
      <c r="G1" s="4"/>
      <c r="I1" s="57" t="s">
        <v>2</v>
      </c>
      <c r="J1" s="72" t="s">
        <v>3</v>
      </c>
      <c r="K1" s="57" t="s">
        <v>4</v>
      </c>
      <c r="L1" s="57" t="s">
        <v>5</v>
      </c>
      <c r="M1" s="57" t="s">
        <v>6</v>
      </c>
      <c r="N1" s="57" t="s">
        <v>7</v>
      </c>
      <c r="O1" s="57" t="s">
        <v>8</v>
      </c>
    </row>
    <row r="2" spans="1:18" ht="15" customHeight="1">
      <c r="I2" s="73">
        <v>0.1</v>
      </c>
      <c r="J2" s="74">
        <v>2022</v>
      </c>
      <c r="K2" s="74">
        <v>12</v>
      </c>
      <c r="L2" s="75">
        <v>1</v>
      </c>
      <c r="M2" s="75">
        <v>9</v>
      </c>
      <c r="N2" s="75">
        <f>+M2-L2+1</f>
        <v>9</v>
      </c>
      <c r="O2" s="75">
        <f>+IF(M2&lt;11,0,1)</f>
        <v>0</v>
      </c>
    </row>
    <row r="3" spans="1:18" ht="15" customHeight="1">
      <c r="A3" s="89" t="str">
        <f>CONCATENATE("NÁVRH  (KALKULACE) CEN PRO VODNÉ A STOČNÉ PRO HOSPODÁŘSKÝ ROK ",$J$2)</f>
        <v>NÁVRH  (KALKULACE) CEN PRO VODNÉ A STOČNÉ PRO HOSPODÁŘSKÝ ROK 2022</v>
      </c>
      <c r="B3" s="89"/>
      <c r="C3" s="89"/>
      <c r="D3" s="89"/>
      <c r="E3" s="89"/>
      <c r="F3" s="89"/>
      <c r="G3" s="89"/>
    </row>
    <row r="5" spans="1:18" ht="15" customHeight="1">
      <c r="G5" s="9" t="s">
        <v>9</v>
      </c>
    </row>
    <row r="6" spans="1:18" ht="15" customHeight="1">
      <c r="A6" s="71" t="s">
        <v>10</v>
      </c>
      <c r="B6" s="71" t="s">
        <v>11</v>
      </c>
      <c r="C6" s="90" t="s">
        <v>12</v>
      </c>
      <c r="D6" s="90"/>
      <c r="E6" s="90"/>
      <c r="F6" s="90"/>
      <c r="G6" s="90"/>
    </row>
    <row r="7" spans="1:18" ht="15" customHeight="1">
      <c r="A7" s="71" t="s">
        <v>13</v>
      </c>
      <c r="B7" s="71" t="s">
        <v>14</v>
      </c>
      <c r="C7" s="90" t="s">
        <v>12</v>
      </c>
      <c r="D7" s="90"/>
      <c r="E7" s="90"/>
      <c r="F7" s="11"/>
      <c r="G7" s="12" t="s">
        <v>15</v>
      </c>
    </row>
    <row r="8" spans="1:18" ht="15" customHeight="1">
      <c r="A8" s="71" t="s">
        <v>16</v>
      </c>
      <c r="B8" s="71" t="s">
        <v>17</v>
      </c>
      <c r="C8" s="91" t="s">
        <v>18</v>
      </c>
      <c r="D8" s="91"/>
      <c r="E8" s="91"/>
      <c r="F8" s="13"/>
      <c r="G8" s="14" t="s">
        <v>19</v>
      </c>
    </row>
    <row r="9" spans="1:18" ht="15" customHeight="1">
      <c r="A9" s="71" t="s">
        <v>20</v>
      </c>
      <c r="B9" s="71" t="s">
        <v>21</v>
      </c>
      <c r="C9" s="92" t="s">
        <v>22</v>
      </c>
      <c r="D9" s="93"/>
      <c r="E9" s="93"/>
      <c r="F9" s="93"/>
      <c r="G9" s="94"/>
    </row>
    <row r="10" spans="1:18" ht="15" customHeight="1">
      <c r="A10" s="71" t="s">
        <v>23</v>
      </c>
      <c r="B10" s="71" t="s">
        <v>24</v>
      </c>
      <c r="C10" s="95"/>
      <c r="D10" s="96"/>
      <c r="E10" s="96"/>
      <c r="F10" s="96"/>
      <c r="G10" s="97"/>
    </row>
    <row r="11" spans="1:18" ht="15" customHeight="1">
      <c r="A11" s="71" t="s">
        <v>25</v>
      </c>
      <c r="B11" s="71" t="s">
        <v>26</v>
      </c>
      <c r="C11" s="86"/>
      <c r="D11" s="87"/>
      <c r="E11" s="87"/>
      <c r="F11" s="87"/>
      <c r="G11" s="88"/>
    </row>
    <row r="13" spans="1:18" ht="15" customHeight="1">
      <c r="A13" s="98" t="s">
        <v>27</v>
      </c>
      <c r="B13" s="98" t="s">
        <v>28</v>
      </c>
      <c r="C13" s="98"/>
      <c r="D13" s="98"/>
      <c r="E13" s="98"/>
      <c r="F13" s="98"/>
      <c r="G13" s="98"/>
    </row>
    <row r="14" spans="1:18" ht="15" customHeight="1">
      <c r="A14" s="98"/>
      <c r="B14" s="99" t="s">
        <v>29</v>
      </c>
      <c r="C14" s="99" t="s">
        <v>30</v>
      </c>
      <c r="D14" s="100" t="s">
        <v>31</v>
      </c>
      <c r="E14" s="101"/>
      <c r="F14" s="100" t="s">
        <v>32</v>
      </c>
      <c r="G14" s="101"/>
    </row>
    <row r="15" spans="1:18" s="70" customFormat="1" ht="15" customHeight="1">
      <c r="A15" s="98"/>
      <c r="B15" s="99"/>
      <c r="C15" s="99"/>
      <c r="D15" s="68">
        <v>2021</v>
      </c>
      <c r="E15" s="15">
        <f>$J$2</f>
        <v>2022</v>
      </c>
      <c r="F15" s="68">
        <v>2021</v>
      </c>
      <c r="G15" s="15">
        <f>$J$2</f>
        <v>2022</v>
      </c>
      <c r="H15" s="72"/>
      <c r="I15" s="72"/>
      <c r="J15" s="72"/>
      <c r="K15" s="72"/>
      <c r="L15" s="72"/>
      <c r="M15" s="72"/>
      <c r="N15" s="72"/>
      <c r="O15" s="72"/>
      <c r="P15" s="72"/>
      <c r="Q15" s="72"/>
      <c r="R15" s="72"/>
    </row>
    <row r="16" spans="1:18" s="70" customFormat="1" ht="15" customHeight="1">
      <c r="A16" s="98"/>
      <c r="B16" s="99"/>
      <c r="C16" s="99"/>
      <c r="D16" s="69" t="s">
        <v>33</v>
      </c>
      <c r="E16" s="69" t="s">
        <v>33</v>
      </c>
      <c r="F16" s="69" t="s">
        <v>33</v>
      </c>
      <c r="G16" s="69" t="s">
        <v>33</v>
      </c>
      <c r="H16" s="72"/>
      <c r="I16" s="72"/>
      <c r="J16" s="72"/>
      <c r="K16" s="72"/>
      <c r="L16" s="72"/>
      <c r="M16" s="72"/>
      <c r="N16" s="72"/>
      <c r="O16" s="72"/>
      <c r="P16" s="72"/>
      <c r="Q16" s="72"/>
      <c r="R16" s="72"/>
    </row>
    <row r="17" spans="1:18" s="18" customFormat="1" ht="15" customHeight="1">
      <c r="A17" s="17">
        <v>1</v>
      </c>
      <c r="B17" s="17">
        <v>2</v>
      </c>
      <c r="C17" s="17" t="s">
        <v>34</v>
      </c>
      <c r="D17" s="17">
        <v>4</v>
      </c>
      <c r="E17" s="17">
        <v>4</v>
      </c>
      <c r="F17" s="17">
        <v>7</v>
      </c>
      <c r="G17" s="17">
        <v>7</v>
      </c>
      <c r="H17" s="72"/>
      <c r="I17" s="72"/>
      <c r="J17" s="72"/>
      <c r="K17" s="72"/>
      <c r="L17" s="72"/>
      <c r="M17" s="72"/>
      <c r="N17" s="72"/>
      <c r="O17" s="72"/>
      <c r="P17" s="72"/>
      <c r="Q17" s="72"/>
      <c r="R17" s="72"/>
    </row>
    <row r="18" spans="1:18" s="22" customFormat="1" ht="15" customHeight="1">
      <c r="A18" s="19" t="s">
        <v>35</v>
      </c>
      <c r="B18" s="19" t="s">
        <v>36</v>
      </c>
      <c r="C18" s="20" t="s">
        <v>37</v>
      </c>
      <c r="D18" s="21">
        <f t="shared" ref="D18:G18" si="0">SUM(D19:D22)</f>
        <v>207700</v>
      </c>
      <c r="E18" s="21">
        <f t="shared" si="0"/>
        <v>219200</v>
      </c>
      <c r="F18" s="21">
        <f t="shared" si="0"/>
        <v>2000</v>
      </c>
      <c r="G18" s="21">
        <f t="shared" si="0"/>
        <v>2000</v>
      </c>
      <c r="H18" s="76">
        <f>+E18-D18</f>
        <v>11500</v>
      </c>
      <c r="I18" s="57"/>
      <c r="J18" s="57"/>
      <c r="K18" s="57"/>
      <c r="L18" s="57"/>
      <c r="M18" s="57"/>
      <c r="N18" s="57"/>
      <c r="O18" s="57"/>
      <c r="P18" s="57"/>
      <c r="Q18" s="57"/>
      <c r="R18" s="76">
        <f>+G18-F18</f>
        <v>0</v>
      </c>
    </row>
    <row r="19" spans="1:18" ht="15" customHeight="1">
      <c r="A19" s="23" t="s">
        <v>38</v>
      </c>
      <c r="B19" s="23" t="s">
        <v>39</v>
      </c>
      <c r="C19" s="69" t="s">
        <v>37</v>
      </c>
      <c r="D19" s="24">
        <v>0</v>
      </c>
      <c r="E19" s="24">
        <v>0</v>
      </c>
      <c r="F19" s="24">
        <v>0</v>
      </c>
      <c r="G19" s="24">
        <v>0</v>
      </c>
      <c r="H19" s="76">
        <f t="shared" ref="H19:H42" si="1">+E19-D19</f>
        <v>0</v>
      </c>
      <c r="R19" s="76">
        <f t="shared" ref="R19:R42" si="2">+G19-F19</f>
        <v>0</v>
      </c>
    </row>
    <row r="20" spans="1:18" ht="15" customHeight="1">
      <c r="A20" s="23" t="s">
        <v>40</v>
      </c>
      <c r="B20" s="25" t="s">
        <v>41</v>
      </c>
      <c r="C20" s="69" t="s">
        <v>37</v>
      </c>
      <c r="D20" s="24">
        <v>173300</v>
      </c>
      <c r="E20" s="24">
        <v>183600</v>
      </c>
      <c r="F20" s="24">
        <v>0</v>
      </c>
      <c r="G20" s="24">
        <v>0</v>
      </c>
      <c r="H20" s="76">
        <f t="shared" si="1"/>
        <v>10300</v>
      </c>
      <c r="R20" s="76">
        <f t="shared" si="2"/>
        <v>0</v>
      </c>
    </row>
    <row r="21" spans="1:18" ht="15" customHeight="1">
      <c r="A21" s="23" t="s">
        <v>42</v>
      </c>
      <c r="B21" s="25" t="s">
        <v>43</v>
      </c>
      <c r="C21" s="69" t="s">
        <v>37</v>
      </c>
      <c r="D21" s="24">
        <v>0</v>
      </c>
      <c r="E21" s="24">
        <v>0</v>
      </c>
      <c r="F21" s="24">
        <v>0</v>
      </c>
      <c r="G21" s="24">
        <v>0</v>
      </c>
      <c r="H21" s="76">
        <f t="shared" si="1"/>
        <v>0</v>
      </c>
      <c r="R21" s="76">
        <f t="shared" si="2"/>
        <v>0</v>
      </c>
    </row>
    <row r="22" spans="1:18" ht="15" customHeight="1">
      <c r="A22" s="23" t="s">
        <v>44</v>
      </c>
      <c r="B22" s="25" t="s">
        <v>45</v>
      </c>
      <c r="C22" s="69" t="s">
        <v>37</v>
      </c>
      <c r="D22" s="24">
        <v>34400</v>
      </c>
      <c r="E22" s="24">
        <v>35600</v>
      </c>
      <c r="F22" s="24">
        <v>2000</v>
      </c>
      <c r="G22" s="24">
        <v>2000</v>
      </c>
      <c r="H22" s="76">
        <f t="shared" si="1"/>
        <v>1200</v>
      </c>
      <c r="R22" s="76">
        <f t="shared" si="2"/>
        <v>0</v>
      </c>
    </row>
    <row r="23" spans="1:18" s="22" customFormat="1" ht="15" customHeight="1">
      <c r="A23" s="19" t="s">
        <v>47</v>
      </c>
      <c r="B23" s="19" t="s">
        <v>48</v>
      </c>
      <c r="C23" s="20" t="s">
        <v>37</v>
      </c>
      <c r="D23" s="21">
        <f t="shared" ref="D23:G23" si="3">SUM(D24:D25)</f>
        <v>0</v>
      </c>
      <c r="E23" s="21">
        <f t="shared" si="3"/>
        <v>0</v>
      </c>
      <c r="F23" s="21">
        <f t="shared" si="3"/>
        <v>0</v>
      </c>
      <c r="G23" s="21">
        <f t="shared" si="3"/>
        <v>0</v>
      </c>
      <c r="H23" s="76">
        <f t="shared" si="1"/>
        <v>0</v>
      </c>
      <c r="I23" s="57"/>
      <c r="J23" s="57"/>
      <c r="K23" s="57"/>
      <c r="L23" s="57"/>
      <c r="M23" s="57"/>
      <c r="N23" s="57"/>
      <c r="O23" s="57"/>
      <c r="P23" s="57"/>
      <c r="Q23" s="57"/>
      <c r="R23" s="76">
        <f t="shared" si="2"/>
        <v>0</v>
      </c>
    </row>
    <row r="24" spans="1:18" ht="15" customHeight="1">
      <c r="A24" s="23" t="s">
        <v>49</v>
      </c>
      <c r="B24" s="23" t="s">
        <v>50</v>
      </c>
      <c r="C24" s="69" t="s">
        <v>37</v>
      </c>
      <c r="D24" s="24">
        <v>0</v>
      </c>
      <c r="E24" s="24">
        <v>0</v>
      </c>
      <c r="F24" s="24">
        <v>0</v>
      </c>
      <c r="G24" s="24">
        <v>0</v>
      </c>
      <c r="H24" s="76">
        <f t="shared" si="1"/>
        <v>0</v>
      </c>
      <c r="R24" s="76">
        <f t="shared" si="2"/>
        <v>0</v>
      </c>
    </row>
    <row r="25" spans="1:18" ht="15" customHeight="1">
      <c r="A25" s="23" t="s">
        <v>51</v>
      </c>
      <c r="B25" s="25" t="s">
        <v>52</v>
      </c>
      <c r="C25" s="69" t="s">
        <v>37</v>
      </c>
      <c r="D25" s="24">
        <v>0</v>
      </c>
      <c r="E25" s="24">
        <v>0</v>
      </c>
      <c r="F25" s="24">
        <v>0</v>
      </c>
      <c r="G25" s="24">
        <v>0</v>
      </c>
      <c r="H25" s="76">
        <f t="shared" si="1"/>
        <v>0</v>
      </c>
      <c r="R25" s="76">
        <f t="shared" si="2"/>
        <v>0</v>
      </c>
    </row>
    <row r="26" spans="1:18" ht="15" customHeight="1">
      <c r="A26" s="19">
        <v>3</v>
      </c>
      <c r="B26" s="19" t="s">
        <v>53</v>
      </c>
      <c r="C26" s="20" t="s">
        <v>37</v>
      </c>
      <c r="D26" s="21">
        <f t="shared" ref="D26:G26" si="4">SUM(D27:D28)</f>
        <v>41800</v>
      </c>
      <c r="E26" s="21">
        <f t="shared" si="4"/>
        <v>43300</v>
      </c>
      <c r="F26" s="21">
        <f t="shared" si="4"/>
        <v>14200</v>
      </c>
      <c r="G26" s="21">
        <f t="shared" si="4"/>
        <v>14800</v>
      </c>
      <c r="H26" s="76">
        <f t="shared" si="1"/>
        <v>1500</v>
      </c>
      <c r="R26" s="76">
        <f t="shared" si="2"/>
        <v>600</v>
      </c>
    </row>
    <row r="27" spans="1:18" ht="15" customHeight="1">
      <c r="A27" s="23" t="s">
        <v>54</v>
      </c>
      <c r="B27" s="23" t="s">
        <v>55</v>
      </c>
      <c r="C27" s="69" t="s">
        <v>37</v>
      </c>
      <c r="D27" s="24">
        <v>30500</v>
      </c>
      <c r="E27" s="24">
        <v>31600</v>
      </c>
      <c r="F27" s="24">
        <v>10400</v>
      </c>
      <c r="G27" s="24">
        <v>10800</v>
      </c>
      <c r="H27" s="76">
        <f t="shared" si="1"/>
        <v>1100</v>
      </c>
      <c r="R27" s="76">
        <f t="shared" si="2"/>
        <v>400</v>
      </c>
    </row>
    <row r="28" spans="1:18" ht="15" customHeight="1">
      <c r="A28" s="23" t="s">
        <v>56</v>
      </c>
      <c r="B28" s="25" t="s">
        <v>57</v>
      </c>
      <c r="C28" s="69" t="s">
        <v>37</v>
      </c>
      <c r="D28" s="24">
        <v>11300</v>
      </c>
      <c r="E28" s="24">
        <v>11700</v>
      </c>
      <c r="F28" s="24">
        <v>3800</v>
      </c>
      <c r="G28" s="24">
        <v>4000</v>
      </c>
      <c r="H28" s="76">
        <f t="shared" si="1"/>
        <v>400</v>
      </c>
      <c r="R28" s="76">
        <f t="shared" si="2"/>
        <v>200</v>
      </c>
    </row>
    <row r="29" spans="1:18" ht="15" customHeight="1">
      <c r="A29" s="27">
        <v>4</v>
      </c>
      <c r="B29" s="19" t="s">
        <v>58</v>
      </c>
      <c r="C29" s="20" t="s">
        <v>37</v>
      </c>
      <c r="D29" s="21">
        <f t="shared" ref="D29:G29" si="5">SUM(D30:D33)</f>
        <v>12300</v>
      </c>
      <c r="E29" s="21">
        <f t="shared" si="5"/>
        <v>18400</v>
      </c>
      <c r="F29" s="21">
        <f t="shared" si="5"/>
        <v>93140</v>
      </c>
      <c r="G29" s="21">
        <f t="shared" si="5"/>
        <v>137300</v>
      </c>
      <c r="H29" s="76">
        <f t="shared" si="1"/>
        <v>6100</v>
      </c>
      <c r="R29" s="76">
        <f t="shared" si="2"/>
        <v>44160</v>
      </c>
    </row>
    <row r="30" spans="1:18" ht="15" customHeight="1">
      <c r="A30" s="23" t="s">
        <v>59</v>
      </c>
      <c r="B30" s="25" t="s">
        <v>60</v>
      </c>
      <c r="C30" s="69" t="s">
        <v>37</v>
      </c>
      <c r="D30" s="24">
        <v>0</v>
      </c>
      <c r="E30" s="24">
        <v>0</v>
      </c>
      <c r="F30" s="24">
        <v>0</v>
      </c>
      <c r="G30" s="24">
        <v>0</v>
      </c>
      <c r="H30" s="76">
        <f t="shared" si="1"/>
        <v>0</v>
      </c>
      <c r="R30" s="76">
        <f t="shared" si="2"/>
        <v>0</v>
      </c>
    </row>
    <row r="31" spans="1:18" ht="15" customHeight="1">
      <c r="A31" s="23" t="s">
        <v>61</v>
      </c>
      <c r="B31" s="25" t="s">
        <v>62</v>
      </c>
      <c r="C31" s="69" t="s">
        <v>37</v>
      </c>
      <c r="D31" s="24">
        <v>5000</v>
      </c>
      <c r="E31" s="24">
        <v>5000</v>
      </c>
      <c r="F31" s="24">
        <v>1000</v>
      </c>
      <c r="G31" s="24">
        <v>1000</v>
      </c>
      <c r="H31" s="76">
        <f t="shared" si="1"/>
        <v>0</v>
      </c>
      <c r="R31" s="76">
        <f t="shared" si="2"/>
        <v>0</v>
      </c>
    </row>
    <row r="32" spans="1:18" ht="15" customHeight="1">
      <c r="A32" s="23" t="s">
        <v>63</v>
      </c>
      <c r="B32" s="25" t="s">
        <v>64</v>
      </c>
      <c r="C32" s="69" t="s">
        <v>37</v>
      </c>
      <c r="D32" s="24">
        <v>7300</v>
      </c>
      <c r="E32" s="24">
        <v>13400</v>
      </c>
      <c r="F32" s="24">
        <v>92140</v>
      </c>
      <c r="G32" s="24">
        <v>136300</v>
      </c>
      <c r="H32" s="76">
        <f t="shared" si="1"/>
        <v>6100</v>
      </c>
      <c r="R32" s="76">
        <f t="shared" si="2"/>
        <v>44160</v>
      </c>
    </row>
    <row r="33" spans="1:18" ht="15" customHeight="1">
      <c r="A33" s="23" t="s">
        <v>65</v>
      </c>
      <c r="B33" s="25" t="s">
        <v>66</v>
      </c>
      <c r="C33" s="69" t="s">
        <v>37</v>
      </c>
      <c r="D33" s="24">
        <v>0</v>
      </c>
      <c r="E33" s="24">
        <v>0</v>
      </c>
      <c r="F33" s="24">
        <v>0</v>
      </c>
      <c r="G33" s="24">
        <v>0</v>
      </c>
      <c r="H33" s="76">
        <f t="shared" si="1"/>
        <v>0</v>
      </c>
      <c r="R33" s="76">
        <f t="shared" si="2"/>
        <v>0</v>
      </c>
    </row>
    <row r="34" spans="1:18" s="28" customFormat="1" ht="15" customHeight="1">
      <c r="A34" s="19">
        <v>5</v>
      </c>
      <c r="B34" s="19" t="s">
        <v>67</v>
      </c>
      <c r="C34" s="20" t="s">
        <v>37</v>
      </c>
      <c r="D34" s="21">
        <f t="shared" ref="D34:G34" si="6">SUM(D35:D37)</f>
        <v>29115</v>
      </c>
      <c r="E34" s="21">
        <f t="shared" si="6"/>
        <v>30601</v>
      </c>
      <c r="F34" s="21">
        <f t="shared" si="6"/>
        <v>62060</v>
      </c>
      <c r="G34" s="21">
        <f t="shared" si="6"/>
        <v>64114</v>
      </c>
      <c r="H34" s="76">
        <f t="shared" si="1"/>
        <v>1486</v>
      </c>
      <c r="I34" s="57"/>
      <c r="J34" s="57"/>
      <c r="K34" s="57"/>
      <c r="L34" s="57"/>
      <c r="M34" s="57"/>
      <c r="N34" s="57"/>
      <c r="O34" s="57"/>
      <c r="P34" s="57"/>
      <c r="Q34" s="57"/>
      <c r="R34" s="76">
        <f t="shared" si="2"/>
        <v>2054</v>
      </c>
    </row>
    <row r="35" spans="1:18" ht="15" customHeight="1">
      <c r="A35" s="23" t="s">
        <v>68</v>
      </c>
      <c r="B35" s="25" t="s">
        <v>69</v>
      </c>
      <c r="C35" s="69" t="s">
        <v>37</v>
      </c>
      <c r="D35" s="24">
        <v>0</v>
      </c>
      <c r="E35" s="24">
        <v>0</v>
      </c>
      <c r="F35" s="24">
        <v>0</v>
      </c>
      <c r="G35" s="24">
        <v>0</v>
      </c>
      <c r="H35" s="76">
        <f t="shared" si="1"/>
        <v>0</v>
      </c>
      <c r="R35" s="76">
        <f t="shared" si="2"/>
        <v>0</v>
      </c>
    </row>
    <row r="36" spans="1:18" ht="15" customHeight="1">
      <c r="A36" s="23" t="s">
        <v>70</v>
      </c>
      <c r="B36" s="25" t="s">
        <v>71</v>
      </c>
      <c r="C36" s="69" t="s">
        <v>37</v>
      </c>
      <c r="D36" s="24">
        <v>2000</v>
      </c>
      <c r="E36" s="24">
        <v>2000</v>
      </c>
      <c r="F36" s="24">
        <v>1400</v>
      </c>
      <c r="G36" s="24">
        <v>1400</v>
      </c>
      <c r="H36" s="76">
        <f t="shared" si="1"/>
        <v>0</v>
      </c>
      <c r="R36" s="76">
        <f t="shared" si="2"/>
        <v>0</v>
      </c>
    </row>
    <row r="37" spans="1:18" ht="15" customHeight="1">
      <c r="A37" s="23" t="s">
        <v>72</v>
      </c>
      <c r="B37" s="25" t="s">
        <v>73</v>
      </c>
      <c r="C37" s="69" t="s">
        <v>37</v>
      </c>
      <c r="D37" s="24">
        <v>27115</v>
      </c>
      <c r="E37" s="24">
        <v>28601</v>
      </c>
      <c r="F37" s="24">
        <v>60660</v>
      </c>
      <c r="G37" s="24">
        <v>62714</v>
      </c>
      <c r="H37" s="76">
        <f t="shared" si="1"/>
        <v>1486</v>
      </c>
      <c r="R37" s="76">
        <f t="shared" si="2"/>
        <v>2054</v>
      </c>
    </row>
    <row r="38" spans="1:18" s="28" customFormat="1" ht="15" customHeight="1">
      <c r="A38" s="19">
        <v>6</v>
      </c>
      <c r="B38" s="29" t="s">
        <v>74</v>
      </c>
      <c r="C38" s="20" t="s">
        <v>37</v>
      </c>
      <c r="D38" s="21">
        <v>0</v>
      </c>
      <c r="E38" s="21">
        <v>0</v>
      </c>
      <c r="F38" s="21">
        <v>0</v>
      </c>
      <c r="G38" s="21">
        <v>0</v>
      </c>
      <c r="H38" s="76">
        <f t="shared" si="1"/>
        <v>0</v>
      </c>
      <c r="I38" s="57"/>
      <c r="J38" s="57"/>
      <c r="K38" s="57"/>
      <c r="L38" s="57"/>
      <c r="M38" s="57"/>
      <c r="N38" s="57"/>
      <c r="O38" s="57"/>
      <c r="P38" s="57"/>
      <c r="Q38" s="57"/>
      <c r="R38" s="76">
        <f t="shared" si="2"/>
        <v>0</v>
      </c>
    </row>
    <row r="39" spans="1:18" s="28" customFormat="1" ht="15" customHeight="1">
      <c r="A39" s="19">
        <v>7</v>
      </c>
      <c r="B39" s="29" t="s">
        <v>75</v>
      </c>
      <c r="C39" s="20" t="s">
        <v>37</v>
      </c>
      <c r="D39" s="21">
        <v>0</v>
      </c>
      <c r="E39" s="21">
        <v>0</v>
      </c>
      <c r="F39" s="21">
        <v>0</v>
      </c>
      <c r="G39" s="21">
        <v>0</v>
      </c>
      <c r="H39" s="76">
        <f t="shared" si="1"/>
        <v>0</v>
      </c>
      <c r="I39" s="57"/>
      <c r="J39" s="57"/>
      <c r="K39" s="57"/>
      <c r="L39" s="57"/>
      <c r="M39" s="57"/>
      <c r="N39" s="57"/>
      <c r="O39" s="57"/>
      <c r="P39" s="57"/>
      <c r="Q39" s="57"/>
      <c r="R39" s="76">
        <f t="shared" si="2"/>
        <v>0</v>
      </c>
    </row>
    <row r="40" spans="1:18" s="28" customFormat="1" ht="15" customHeight="1">
      <c r="A40" s="19">
        <v>8</v>
      </c>
      <c r="B40" s="29" t="s">
        <v>76</v>
      </c>
      <c r="C40" s="20" t="s">
        <v>37</v>
      </c>
      <c r="D40" s="21">
        <v>8383</v>
      </c>
      <c r="E40" s="21">
        <v>8787</v>
      </c>
      <c r="F40" s="21">
        <v>27674</v>
      </c>
      <c r="G40" s="21">
        <v>27674</v>
      </c>
      <c r="H40" s="76">
        <f t="shared" si="1"/>
        <v>404</v>
      </c>
      <c r="I40" s="57"/>
      <c r="J40" s="57"/>
      <c r="K40" s="57"/>
      <c r="L40" s="57"/>
      <c r="M40" s="57"/>
      <c r="N40" s="57"/>
      <c r="O40" s="57"/>
      <c r="P40" s="57"/>
      <c r="Q40" s="57"/>
      <c r="R40" s="76">
        <f t="shared" si="2"/>
        <v>0</v>
      </c>
    </row>
    <row r="41" spans="1:18" s="28" customFormat="1" ht="15" customHeight="1">
      <c r="A41" s="19">
        <v>9</v>
      </c>
      <c r="B41" s="29" t="s">
        <v>77</v>
      </c>
      <c r="C41" s="20" t="s">
        <v>37</v>
      </c>
      <c r="D41" s="21">
        <v>12782</v>
      </c>
      <c r="E41" s="21">
        <v>13398</v>
      </c>
      <c r="F41" s="21">
        <v>42196</v>
      </c>
      <c r="G41" s="21">
        <v>42196</v>
      </c>
      <c r="H41" s="76">
        <f t="shared" si="1"/>
        <v>616</v>
      </c>
      <c r="I41" s="57"/>
      <c r="J41" s="57"/>
      <c r="K41" s="57"/>
      <c r="L41" s="57"/>
      <c r="M41" s="57"/>
      <c r="N41" s="57"/>
      <c r="O41" s="57"/>
      <c r="P41" s="57"/>
      <c r="Q41" s="57"/>
      <c r="R41" s="76">
        <f t="shared" si="2"/>
        <v>0</v>
      </c>
    </row>
    <row r="42" spans="1:18" s="28" customFormat="1" ht="15" customHeight="1">
      <c r="A42" s="19">
        <v>10</v>
      </c>
      <c r="B42" s="29" t="s">
        <v>78</v>
      </c>
      <c r="C42" s="20" t="s">
        <v>37</v>
      </c>
      <c r="D42" s="21">
        <f t="shared" ref="D42:G42" si="7">SUM(D18,D23,D26,D29,D34,D38,D39,D40,D41)</f>
        <v>312080</v>
      </c>
      <c r="E42" s="21">
        <f t="shared" si="7"/>
        <v>333686</v>
      </c>
      <c r="F42" s="21">
        <f t="shared" si="7"/>
        <v>241270</v>
      </c>
      <c r="G42" s="21">
        <f t="shared" si="7"/>
        <v>288084</v>
      </c>
      <c r="H42" s="76">
        <f t="shared" si="1"/>
        <v>21606</v>
      </c>
      <c r="I42" s="57"/>
      <c r="J42" s="57"/>
      <c r="K42" s="57"/>
      <c r="L42" s="57"/>
      <c r="M42" s="57"/>
      <c r="N42" s="57"/>
      <c r="O42" s="57"/>
      <c r="P42" s="57"/>
      <c r="Q42" s="57"/>
      <c r="R42" s="76">
        <f t="shared" si="2"/>
        <v>46814</v>
      </c>
    </row>
    <row r="43" spans="1:18" ht="15" customHeight="1">
      <c r="A43" s="23" t="s">
        <v>82</v>
      </c>
      <c r="B43" s="25" t="s">
        <v>83</v>
      </c>
      <c r="C43" s="69" t="s">
        <v>37</v>
      </c>
      <c r="D43" s="24"/>
      <c r="E43" s="24"/>
      <c r="F43" s="24"/>
      <c r="G43" s="24"/>
      <c r="M43" s="77" t="s">
        <v>84</v>
      </c>
      <c r="N43" s="78"/>
      <c r="O43" s="78"/>
      <c r="P43" s="78" t="str">
        <f>+IF((E66/E70)/(D66/D70)&lt;1.07,"OK","CHYBA")</f>
        <v>OK</v>
      </c>
      <c r="Q43" s="79" t="str">
        <f>+IF((G66/G70)/(F66/F70)&lt;1.07,"OK","CHYBA")</f>
        <v>OK</v>
      </c>
    </row>
    <row r="44" spans="1:18" ht="15" customHeight="1">
      <c r="A44" s="23" t="s">
        <v>85</v>
      </c>
      <c r="B44" s="25" t="s">
        <v>86</v>
      </c>
      <c r="C44" s="69" t="s">
        <v>37</v>
      </c>
      <c r="D44" s="24"/>
      <c r="E44" s="24"/>
      <c r="F44" s="24"/>
      <c r="G44" s="24"/>
      <c r="M44" s="77"/>
      <c r="N44" s="78"/>
      <c r="O44" s="78"/>
      <c r="P44" s="78"/>
      <c r="Q44" s="79"/>
    </row>
    <row r="45" spans="1:18" ht="15" customHeight="1" thickBot="1">
      <c r="A45" s="23" t="s">
        <v>87</v>
      </c>
      <c r="B45" s="25" t="s">
        <v>88</v>
      </c>
      <c r="C45" s="69" t="s">
        <v>89</v>
      </c>
      <c r="D45" s="24"/>
      <c r="E45" s="24"/>
      <c r="F45" s="24"/>
      <c r="G45" s="24"/>
      <c r="M45" s="80" t="s">
        <v>90</v>
      </c>
      <c r="N45" s="81"/>
      <c r="O45" s="81"/>
      <c r="P45" s="81" t="s">
        <v>91</v>
      </c>
      <c r="Q45" s="82" t="s">
        <v>91</v>
      </c>
    </row>
    <row r="46" spans="1:18" ht="15" customHeight="1">
      <c r="A46" s="23" t="s">
        <v>92</v>
      </c>
      <c r="B46" s="25" t="s">
        <v>93</v>
      </c>
      <c r="C46" s="69" t="s">
        <v>94</v>
      </c>
      <c r="D46" s="24">
        <v>8300</v>
      </c>
      <c r="E46" s="24">
        <v>8700</v>
      </c>
      <c r="F46" s="24"/>
      <c r="G46" s="24"/>
      <c r="H46" s="76">
        <f>+E46-D46</f>
        <v>400</v>
      </c>
      <c r="R46" s="76"/>
    </row>
    <row r="47" spans="1:18" ht="15" customHeight="1">
      <c r="A47" s="23" t="s">
        <v>95</v>
      </c>
      <c r="B47" s="25" t="s">
        <v>96</v>
      </c>
      <c r="C47" s="69" t="s">
        <v>94</v>
      </c>
      <c r="D47" s="24"/>
      <c r="E47" s="24"/>
      <c r="F47" s="24"/>
      <c r="G47" s="24"/>
    </row>
    <row r="48" spans="1:18" ht="15" customHeight="1">
      <c r="A48" s="23" t="s">
        <v>97</v>
      </c>
      <c r="B48" s="25" t="s">
        <v>98</v>
      </c>
      <c r="C48" s="69" t="s">
        <v>94</v>
      </c>
      <c r="D48" s="24"/>
      <c r="E48" s="24"/>
      <c r="F48" s="24">
        <v>27400</v>
      </c>
      <c r="G48" s="24">
        <v>27400</v>
      </c>
      <c r="H48" s="76"/>
      <c r="R48" s="76">
        <f>+G48-F48</f>
        <v>0</v>
      </c>
    </row>
    <row r="49" spans="1:18" ht="15" customHeight="1">
      <c r="A49" s="23" t="s">
        <v>99</v>
      </c>
      <c r="B49" s="25" t="s">
        <v>96</v>
      </c>
      <c r="C49" s="69" t="s">
        <v>94</v>
      </c>
      <c r="D49" s="24"/>
      <c r="E49" s="24"/>
      <c r="F49" s="24"/>
      <c r="G49" s="24"/>
    </row>
    <row r="50" spans="1:18" ht="15" customHeight="1">
      <c r="A50" s="23" t="s">
        <v>100</v>
      </c>
      <c r="B50" s="25" t="s">
        <v>101</v>
      </c>
      <c r="C50" s="69" t="s">
        <v>94</v>
      </c>
      <c r="D50" s="24"/>
      <c r="E50" s="24"/>
      <c r="F50" s="24"/>
      <c r="G50" s="24"/>
    </row>
    <row r="51" spans="1:18" ht="15" customHeight="1">
      <c r="A51" s="23" t="s">
        <v>10</v>
      </c>
      <c r="B51" s="25" t="s">
        <v>102</v>
      </c>
      <c r="C51" s="69" t="s">
        <v>94</v>
      </c>
      <c r="D51" s="24"/>
      <c r="E51" s="24"/>
      <c r="F51" s="24"/>
      <c r="G51" s="24"/>
    </row>
    <row r="52" spans="1:18" ht="15" customHeight="1">
      <c r="A52" s="23" t="s">
        <v>103</v>
      </c>
      <c r="B52" s="25" t="s">
        <v>104</v>
      </c>
      <c r="C52" s="69" t="s">
        <v>94</v>
      </c>
      <c r="D52" s="24">
        <v>9800</v>
      </c>
      <c r="E52" s="24">
        <v>10300</v>
      </c>
      <c r="F52" s="24"/>
      <c r="G52" s="24"/>
      <c r="H52" s="76">
        <f>+E52-D52</f>
        <v>500</v>
      </c>
      <c r="R52" s="76"/>
    </row>
    <row r="53" spans="1:18" ht="15" customHeight="1">
      <c r="A53" s="23" t="s">
        <v>105</v>
      </c>
      <c r="B53" s="25" t="s">
        <v>106</v>
      </c>
      <c r="C53" s="69" t="s">
        <v>94</v>
      </c>
      <c r="D53" s="24"/>
      <c r="E53" s="24"/>
      <c r="F53" s="24"/>
      <c r="G53" s="24"/>
    </row>
    <row r="55" spans="1:18" ht="15" hidden="1" customHeight="1" outlineLevel="1">
      <c r="A55" s="70" t="s">
        <v>107</v>
      </c>
      <c r="B55" s="3" t="s">
        <v>108</v>
      </c>
    </row>
    <row r="56" spans="1:18" ht="15" hidden="1" customHeight="1" outlineLevel="1">
      <c r="B56" s="3" t="s">
        <v>109</v>
      </c>
    </row>
    <row r="57" spans="1:18" ht="15" hidden="1" customHeight="1" outlineLevel="1">
      <c r="B57" s="3" t="s">
        <v>110</v>
      </c>
    </row>
    <row r="58" spans="1:18" ht="15" hidden="1" customHeight="1" outlineLevel="1"/>
    <row r="59" spans="1:18" ht="15" hidden="1" customHeight="1" collapsed="1">
      <c r="G59" s="9" t="s">
        <v>111</v>
      </c>
    </row>
    <row r="60" spans="1:18" ht="15" hidden="1" customHeight="1">
      <c r="A60" s="102" t="s">
        <v>27</v>
      </c>
      <c r="B60" s="104" t="s">
        <v>112</v>
      </c>
      <c r="C60" s="100"/>
      <c r="D60" s="100"/>
      <c r="E60" s="100"/>
      <c r="F60" s="100"/>
      <c r="G60" s="101"/>
    </row>
    <row r="61" spans="1:18" ht="15" hidden="1" customHeight="1">
      <c r="A61" s="103"/>
      <c r="B61" s="105" t="s">
        <v>113</v>
      </c>
      <c r="C61" s="105" t="s">
        <v>30</v>
      </c>
      <c r="D61" s="100" t="s">
        <v>31</v>
      </c>
      <c r="E61" s="101"/>
      <c r="F61" s="100" t="s">
        <v>32</v>
      </c>
      <c r="G61" s="101"/>
    </row>
    <row r="62" spans="1:18" ht="15" hidden="1" customHeight="1">
      <c r="A62" s="103"/>
      <c r="B62" s="105"/>
      <c r="C62" s="105"/>
      <c r="D62" s="15">
        <f>$J$2-1</f>
        <v>2021</v>
      </c>
      <c r="E62" s="15">
        <f>$J$2</f>
        <v>2022</v>
      </c>
      <c r="F62" s="15">
        <f>$J$2-1</f>
        <v>2021</v>
      </c>
      <c r="G62" s="15">
        <f>$J$2</f>
        <v>2022</v>
      </c>
    </row>
    <row r="63" spans="1:18" ht="15" hidden="1" customHeight="1">
      <c r="A63" s="17">
        <v>1</v>
      </c>
      <c r="B63" s="17">
        <v>2</v>
      </c>
      <c r="C63" s="17" t="s">
        <v>34</v>
      </c>
      <c r="D63" s="17" t="s">
        <v>114</v>
      </c>
      <c r="E63" s="17" t="s">
        <v>114</v>
      </c>
      <c r="F63" s="17" t="s">
        <v>115</v>
      </c>
      <c r="G63" s="17" t="s">
        <v>115</v>
      </c>
    </row>
    <row r="64" spans="1:18" s="28" customFormat="1" ht="15" hidden="1" customHeight="1">
      <c r="A64" s="19" t="s">
        <v>116</v>
      </c>
      <c r="B64" s="29" t="s">
        <v>117</v>
      </c>
      <c r="C64" s="20" t="s">
        <v>118</v>
      </c>
      <c r="D64" s="39">
        <f>IFERROR(D42/D46,0)</f>
        <v>37.6</v>
      </c>
      <c r="E64" s="39">
        <f>IFERROR(E42/E46,0)</f>
        <v>38.354712643678162</v>
      </c>
      <c r="F64" s="39">
        <f>IFERROR(F42/(F48+F50),0)</f>
        <v>8.8054744525547441</v>
      </c>
      <c r="G64" s="39">
        <f>IFERROR(G42/(G48+G50),0)</f>
        <v>10.514014598540147</v>
      </c>
      <c r="H64" s="83"/>
      <c r="I64" s="83"/>
      <c r="J64" s="83"/>
      <c r="K64" s="83"/>
      <c r="L64" s="83"/>
      <c r="M64" s="83"/>
      <c r="N64" s="83"/>
      <c r="O64" s="83"/>
      <c r="P64" s="83"/>
      <c r="Q64" s="83"/>
      <c r="R64" s="83"/>
    </row>
    <row r="65" spans="1:18" s="28" customFormat="1" ht="15" hidden="1" customHeight="1">
      <c r="A65" s="19" t="s">
        <v>119</v>
      </c>
      <c r="B65" s="29" t="s">
        <v>120</v>
      </c>
      <c r="C65" s="20" t="s">
        <v>37</v>
      </c>
      <c r="D65" s="21">
        <f>D42</f>
        <v>312080</v>
      </c>
      <c r="E65" s="21">
        <f>E42</f>
        <v>333686</v>
      </c>
      <c r="F65" s="21">
        <f>F42</f>
        <v>241270</v>
      </c>
      <c r="G65" s="21">
        <f>G42</f>
        <v>288084</v>
      </c>
      <c r="H65" s="83"/>
      <c r="I65" s="83"/>
      <c r="J65" s="83"/>
      <c r="K65" s="83"/>
      <c r="L65" s="83"/>
      <c r="M65" s="83"/>
      <c r="N65" s="83"/>
      <c r="O65" s="83"/>
      <c r="P65" s="83"/>
      <c r="Q65" s="83"/>
      <c r="R65" s="83"/>
    </row>
    <row r="66" spans="1:18" s="28" customFormat="1" ht="15" hidden="1" customHeight="1">
      <c r="A66" s="19" t="s">
        <v>121</v>
      </c>
      <c r="B66" s="29" t="s">
        <v>122</v>
      </c>
      <c r="C66" s="20" t="s">
        <v>37</v>
      </c>
      <c r="D66" s="21">
        <v>31208</v>
      </c>
      <c r="E66" s="21">
        <v>33368.6</v>
      </c>
      <c r="F66" s="21">
        <v>10813.5</v>
      </c>
      <c r="G66" s="21">
        <v>11404.2</v>
      </c>
      <c r="H66" s="83"/>
      <c r="I66" s="83"/>
      <c r="J66" s="83"/>
      <c r="K66" s="83"/>
      <c r="L66" s="83"/>
      <c r="M66" s="83"/>
      <c r="N66" s="83"/>
      <c r="O66" s="83"/>
      <c r="P66" s="83"/>
      <c r="Q66" s="83"/>
      <c r="R66" s="83"/>
    </row>
    <row r="67" spans="1:18" ht="15" hidden="1" customHeight="1">
      <c r="A67" s="40" t="s">
        <v>123</v>
      </c>
      <c r="B67" s="41" t="s">
        <v>124</v>
      </c>
      <c r="C67" s="42" t="s">
        <v>125</v>
      </c>
      <c r="D67" s="43">
        <f>IFERROR((D66/D65)*100,0)</f>
        <v>10</v>
      </c>
      <c r="E67" s="43">
        <f>IFERROR((E66/E65)*100,0)</f>
        <v>10</v>
      </c>
      <c r="F67" s="43">
        <f>IFERROR((F66/F65)*100,0)</f>
        <v>4.4819082355866877</v>
      </c>
      <c r="G67" s="43">
        <f>IFERROR((G66/G65)*100,0)</f>
        <v>3.9586370641896114</v>
      </c>
    </row>
    <row r="68" spans="1:18" ht="15" hidden="1" customHeight="1">
      <c r="A68" s="40" t="s">
        <v>126</v>
      </c>
      <c r="B68" s="41" t="s">
        <v>127</v>
      </c>
      <c r="C68" s="42" t="s">
        <v>37</v>
      </c>
      <c r="D68" s="24"/>
      <c r="E68" s="24"/>
      <c r="F68" s="24"/>
      <c r="G68" s="24"/>
    </row>
    <row r="69" spans="1:18" s="28" customFormat="1" ht="15" hidden="1" customHeight="1">
      <c r="A69" s="19" t="s">
        <v>128</v>
      </c>
      <c r="B69" s="19" t="s">
        <v>129</v>
      </c>
      <c r="C69" s="20" t="s">
        <v>37</v>
      </c>
      <c r="D69" s="21">
        <f>SUM(D65:D66)</f>
        <v>343288</v>
      </c>
      <c r="E69" s="21">
        <f>SUM(E65:E66)</f>
        <v>367054.6</v>
      </c>
      <c r="F69" s="21">
        <f>SUM(F65:F66)</f>
        <v>252083.5</v>
      </c>
      <c r="G69" s="21">
        <f>SUM(G65:G66)</f>
        <v>299488.2</v>
      </c>
      <c r="H69" s="83"/>
      <c r="I69" s="83"/>
      <c r="J69" s="83"/>
      <c r="K69" s="83"/>
      <c r="L69" s="83"/>
      <c r="M69" s="83"/>
      <c r="N69" s="83"/>
      <c r="O69" s="83"/>
      <c r="P69" s="83"/>
      <c r="Q69" s="83"/>
      <c r="R69" s="83"/>
    </row>
    <row r="70" spans="1:18" ht="15" hidden="1" customHeight="1">
      <c r="A70" s="40" t="s">
        <v>130</v>
      </c>
      <c r="B70" s="40" t="s">
        <v>131</v>
      </c>
      <c r="C70" s="42" t="s">
        <v>132</v>
      </c>
      <c r="D70" s="24">
        <f>D46</f>
        <v>8300</v>
      </c>
      <c r="E70" s="24">
        <f>E46</f>
        <v>8700</v>
      </c>
      <c r="F70" s="24">
        <f>F48+F50</f>
        <v>27400</v>
      </c>
      <c r="G70" s="24">
        <f>G48+G50</f>
        <v>27400</v>
      </c>
    </row>
    <row r="71" spans="1:18" s="28" customFormat="1" ht="15" hidden="1" customHeight="1">
      <c r="A71" s="19" t="s">
        <v>133</v>
      </c>
      <c r="B71" s="19" t="s">
        <v>134</v>
      </c>
      <c r="C71" s="20" t="s">
        <v>118</v>
      </c>
      <c r="D71" s="39">
        <f>ROUND(IFERROR(D69/D70,0),2)</f>
        <v>41.36</v>
      </c>
      <c r="E71" s="39">
        <f>TRUNC(IFERROR(E69/E70,0),2)</f>
        <v>42.19</v>
      </c>
      <c r="F71" s="39">
        <f>ROUND(IFERROR(F69/F70,0),2)</f>
        <v>9.1999999999999993</v>
      </c>
      <c r="G71" s="39">
        <f>TRUNC(IFERROR(G69/G70,0),2)</f>
        <v>10.93</v>
      </c>
      <c r="H71" s="83"/>
      <c r="I71" s="84"/>
      <c r="J71" s="84"/>
      <c r="K71" s="83"/>
      <c r="L71" s="83"/>
      <c r="M71" s="83"/>
      <c r="N71" s="83"/>
      <c r="O71" s="83"/>
      <c r="P71" s="83"/>
      <c r="Q71" s="83"/>
      <c r="R71" s="83"/>
    </row>
    <row r="72" spans="1:18" s="28" customFormat="1" ht="15" hidden="1" customHeight="1">
      <c r="A72" s="19" t="s">
        <v>135</v>
      </c>
      <c r="B72" s="19" t="s">
        <v>136</v>
      </c>
      <c r="C72" s="20" t="s">
        <v>118</v>
      </c>
      <c r="D72" s="39">
        <f>D71*(1+$I$2)</f>
        <v>45.496000000000002</v>
      </c>
      <c r="E72" s="39">
        <f>E71*(1+$I$2)</f>
        <v>46.408999999999999</v>
      </c>
      <c r="F72" s="39">
        <f>F71*(1+$I$2)</f>
        <v>10.119999999999999</v>
      </c>
      <c r="G72" s="39">
        <f>G71*(1+$I$2)</f>
        <v>12.023000000000001</v>
      </c>
      <c r="H72" s="83"/>
      <c r="I72" s="83"/>
      <c r="J72" s="83"/>
      <c r="K72" s="83"/>
      <c r="L72" s="83"/>
      <c r="M72" s="83"/>
      <c r="N72" s="83"/>
      <c r="O72" s="83"/>
      <c r="P72" s="83"/>
      <c r="Q72" s="83"/>
      <c r="R72" s="83"/>
    </row>
    <row r="73" spans="1:18" s="28" customFormat="1" ht="15" hidden="1" customHeight="1">
      <c r="A73" s="19" t="s">
        <v>137</v>
      </c>
      <c r="B73" s="19" t="s">
        <v>138</v>
      </c>
      <c r="C73" s="20" t="s">
        <v>118</v>
      </c>
      <c r="D73" s="39"/>
      <c r="E73" s="39">
        <f>+E71-D71</f>
        <v>0.82999999999999829</v>
      </c>
      <c r="F73" s="39"/>
      <c r="G73" s="39">
        <f>+G71-F71</f>
        <v>1.7300000000000004</v>
      </c>
      <c r="H73" s="83"/>
      <c r="I73" s="83"/>
      <c r="J73" s="83"/>
      <c r="K73" s="83"/>
      <c r="L73" s="83"/>
      <c r="M73" s="83"/>
      <c r="N73" s="83"/>
      <c r="O73" s="83"/>
      <c r="P73" s="83"/>
      <c r="Q73" s="83"/>
      <c r="R73" s="83"/>
    </row>
    <row r="74" spans="1:18" s="28" customFormat="1" ht="15" hidden="1" customHeight="1">
      <c r="A74" s="19" t="s">
        <v>139</v>
      </c>
      <c r="B74" s="19" t="s">
        <v>140</v>
      </c>
      <c r="C74" s="20" t="s">
        <v>125</v>
      </c>
      <c r="D74" s="39"/>
      <c r="E74" s="45">
        <f>IFERROR(E73/D71,0)</f>
        <v>2.006769825918758E-2</v>
      </c>
      <c r="F74" s="39"/>
      <c r="G74" s="45">
        <f>IFERROR(G73/F71,0)</f>
        <v>0.18804347826086962</v>
      </c>
      <c r="H74" s="83"/>
      <c r="I74" s="83"/>
      <c r="J74" s="83"/>
      <c r="K74" s="83"/>
      <c r="L74" s="83"/>
      <c r="M74" s="83"/>
      <c r="N74" s="83"/>
      <c r="O74" s="83"/>
      <c r="P74" s="83"/>
      <c r="Q74" s="83"/>
      <c r="R74" s="83"/>
    </row>
    <row r="75" spans="1:18" ht="15" hidden="1" customHeight="1"/>
    <row r="76" spans="1:18" ht="15" hidden="1" customHeight="1" outlineLevel="1">
      <c r="A76" s="106" t="str">
        <f>CONCATENATE("Návrh kalkulace (výpočet) cen pro vodné a stočné pro rok ",$J$2," při použití dvousložkové")</f>
        <v>Návrh kalkulace (výpočet) cen pro vodné a stočné pro rok 2022 při použití dvousložkové</v>
      </c>
      <c r="B76" s="106"/>
      <c r="C76" s="106"/>
      <c r="D76" s="106"/>
      <c r="E76" s="106"/>
      <c r="F76" s="106"/>
      <c r="G76" s="106"/>
    </row>
    <row r="77" spans="1:18" ht="15" hidden="1" customHeight="1" outlineLevel="1">
      <c r="A77" s="106" t="s">
        <v>141</v>
      </c>
      <c r="B77" s="106"/>
      <c r="C77" s="106"/>
      <c r="D77" s="106"/>
      <c r="E77" s="106"/>
      <c r="F77" s="106"/>
      <c r="G77" s="106"/>
    </row>
    <row r="78" spans="1:18" ht="15" hidden="1" customHeight="1" outlineLevel="1">
      <c r="G78" s="70" t="s">
        <v>142</v>
      </c>
    </row>
    <row r="79" spans="1:18" ht="15" hidden="1" customHeight="1" outlineLevel="1">
      <c r="A79" s="102" t="s">
        <v>27</v>
      </c>
      <c r="B79" s="104" t="s">
        <v>143</v>
      </c>
      <c r="C79" s="100"/>
      <c r="D79" s="100"/>
      <c r="E79" s="100"/>
      <c r="F79" s="100"/>
      <c r="G79" s="101"/>
    </row>
    <row r="80" spans="1:18" ht="15" hidden="1" customHeight="1" outlineLevel="1">
      <c r="A80" s="103"/>
      <c r="B80" s="105" t="s">
        <v>113</v>
      </c>
      <c r="C80" s="105" t="s">
        <v>30</v>
      </c>
      <c r="D80" s="100" t="s">
        <v>31</v>
      </c>
      <c r="E80" s="101"/>
      <c r="F80" s="100" t="s">
        <v>32</v>
      </c>
      <c r="G80" s="101"/>
    </row>
    <row r="81" spans="1:18" ht="15" hidden="1" customHeight="1" outlineLevel="1">
      <c r="A81" s="103"/>
      <c r="B81" s="105"/>
      <c r="C81" s="105"/>
      <c r="D81" s="15">
        <f>$J$2-1</f>
        <v>2021</v>
      </c>
      <c r="E81" s="15">
        <f>$J$2</f>
        <v>2022</v>
      </c>
      <c r="F81" s="15">
        <f>$J$2-1</f>
        <v>2021</v>
      </c>
      <c r="G81" s="15">
        <f>$J$2</f>
        <v>2022</v>
      </c>
    </row>
    <row r="82" spans="1:18" ht="15" hidden="1" customHeight="1" outlineLevel="1">
      <c r="A82" s="17">
        <v>1</v>
      </c>
      <c r="B82" s="17">
        <v>2</v>
      </c>
      <c r="C82" s="17" t="s">
        <v>34</v>
      </c>
      <c r="D82" s="17" t="s">
        <v>114</v>
      </c>
      <c r="E82" s="17" t="s">
        <v>144</v>
      </c>
      <c r="F82" s="17" t="s">
        <v>145</v>
      </c>
      <c r="G82" s="17" t="s">
        <v>145</v>
      </c>
    </row>
    <row r="83" spans="1:18" s="28" customFormat="1" ht="15" hidden="1" customHeight="1" outlineLevel="1">
      <c r="A83" s="19" t="s">
        <v>146</v>
      </c>
      <c r="B83" s="29" t="s">
        <v>147</v>
      </c>
      <c r="C83" s="20" t="s">
        <v>37</v>
      </c>
      <c r="D83" s="21">
        <v>40363.254466509999</v>
      </c>
      <c r="E83" s="21">
        <v>40773.254466509999</v>
      </c>
      <c r="F83" s="21">
        <v>32908.014419648462</v>
      </c>
      <c r="G83" s="21">
        <v>39161.023047745082</v>
      </c>
      <c r="H83" s="83"/>
      <c r="I83" s="83"/>
      <c r="J83" s="83"/>
      <c r="K83" s="83"/>
      <c r="L83" s="83"/>
      <c r="M83" s="83"/>
      <c r="N83" s="83"/>
      <c r="O83" s="83"/>
      <c r="P83" s="83"/>
      <c r="Q83" s="83"/>
      <c r="R83" s="83"/>
    </row>
    <row r="84" spans="1:18" ht="15" hidden="1" customHeight="1" outlineLevel="1">
      <c r="A84" s="40" t="s">
        <v>148</v>
      </c>
      <c r="B84" s="41" t="s">
        <v>149</v>
      </c>
      <c r="C84" s="42" t="s">
        <v>125</v>
      </c>
      <c r="D84" s="43">
        <f>IFERROR((D83/D69)*100,0)</f>
        <v>11.757840200213815</v>
      </c>
      <c r="E84" s="43">
        <f>IFERROR((E83/E69)*100,0)</f>
        <v>11.108225987771302</v>
      </c>
      <c r="F84" s="43">
        <f>IFERROR((F83/F69)*100,0)</f>
        <v>13.05441031231654</v>
      </c>
      <c r="G84" s="43">
        <f>IFERROR((G83/G69)*100,0)</f>
        <v>13.075981974496854</v>
      </c>
    </row>
    <row r="85" spans="1:18" s="28" customFormat="1" ht="15" hidden="1" customHeight="1" outlineLevel="1">
      <c r="A85" s="19" t="s">
        <v>150</v>
      </c>
      <c r="B85" s="29" t="s">
        <v>151</v>
      </c>
      <c r="C85" s="20" t="s">
        <v>37</v>
      </c>
      <c r="D85" s="21">
        <f>D69-D83</f>
        <v>302924.74553348997</v>
      </c>
      <c r="E85" s="21">
        <f>E69-E83</f>
        <v>326281.34553348995</v>
      </c>
      <c r="F85" s="21">
        <f>F69-F83</f>
        <v>219175.48558035155</v>
      </c>
      <c r="G85" s="21">
        <f>G69-G83</f>
        <v>260327.17695225493</v>
      </c>
      <c r="H85" s="83"/>
      <c r="I85" s="83"/>
      <c r="J85" s="83"/>
      <c r="K85" s="83"/>
      <c r="L85" s="83"/>
      <c r="M85" s="83"/>
      <c r="N85" s="83"/>
      <c r="O85" s="83"/>
      <c r="P85" s="83"/>
      <c r="Q85" s="83"/>
      <c r="R85" s="83"/>
    </row>
    <row r="86" spans="1:18" ht="15" hidden="1" customHeight="1" outlineLevel="1">
      <c r="A86" s="40" t="s">
        <v>152</v>
      </c>
      <c r="B86" s="41" t="s">
        <v>153</v>
      </c>
      <c r="C86" s="42" t="s">
        <v>37</v>
      </c>
      <c r="D86" s="24">
        <f>D65*(1-D84%)</f>
        <v>275386.13230317272</v>
      </c>
      <c r="E86" s="24">
        <f>E65*(1-E84%)</f>
        <v>296619.40503044543</v>
      </c>
      <c r="F86" s="24">
        <f>F65*(1-F84%)</f>
        <v>209773.62423947389</v>
      </c>
      <c r="G86" s="24">
        <f>G65*(1-G84%)</f>
        <v>250414.18808859048</v>
      </c>
    </row>
    <row r="87" spans="1:18" ht="15" hidden="1" customHeight="1" outlineLevel="1">
      <c r="A87" s="40" t="s">
        <v>154</v>
      </c>
      <c r="B87" s="41" t="s">
        <v>155</v>
      </c>
      <c r="C87" s="42" t="s">
        <v>37</v>
      </c>
      <c r="D87" s="24">
        <f>D85-D86</f>
        <v>27538.613230317249</v>
      </c>
      <c r="E87" s="24">
        <f>E85-E86</f>
        <v>29661.94050304452</v>
      </c>
      <c r="F87" s="24">
        <f>F85-F86</f>
        <v>9401.8613408776582</v>
      </c>
      <c r="G87" s="24">
        <f>G85-G86</f>
        <v>9912.9888636644464</v>
      </c>
    </row>
    <row r="88" spans="1:18" s="28" customFormat="1" ht="15" hidden="1" customHeight="1" outlineLevel="1">
      <c r="A88" s="46" t="s">
        <v>156</v>
      </c>
      <c r="B88" s="46" t="s">
        <v>157</v>
      </c>
      <c r="C88" s="47" t="s">
        <v>118</v>
      </c>
      <c r="D88" s="48">
        <f>ROUND(IFERROR(D85/D70,0),2)</f>
        <v>36.5</v>
      </c>
      <c r="E88" s="48">
        <f>ROUND(IFERROR(E85/E70,0),2)</f>
        <v>37.5</v>
      </c>
      <c r="F88" s="48">
        <f>ROUND(IFERROR(F85/F70,0),2)</f>
        <v>8</v>
      </c>
      <c r="G88" s="48">
        <f>ROUND(IFERROR(G85/G70,0),2)</f>
        <v>9.5</v>
      </c>
      <c r="H88" s="83"/>
      <c r="I88" s="84"/>
      <c r="J88" s="84"/>
      <c r="K88" s="83"/>
      <c r="L88" s="83"/>
      <c r="M88" s="83"/>
      <c r="N88" s="83"/>
      <c r="O88" s="83"/>
      <c r="P88" s="83"/>
      <c r="Q88" s="83"/>
      <c r="R88" s="83"/>
    </row>
    <row r="89" spans="1:18" s="28" customFormat="1" ht="15" hidden="1" customHeight="1" outlineLevel="1">
      <c r="A89" s="46" t="s">
        <v>158</v>
      </c>
      <c r="B89" s="46" t="s">
        <v>159</v>
      </c>
      <c r="C89" s="47" t="s">
        <v>118</v>
      </c>
      <c r="D89" s="48">
        <f>D88*(1+$I$2)</f>
        <v>40.150000000000006</v>
      </c>
      <c r="E89" s="48">
        <f>E88*(1+$I$2)</f>
        <v>41.25</v>
      </c>
      <c r="F89" s="48">
        <f>F88*(1+$I$2)</f>
        <v>8.8000000000000007</v>
      </c>
      <c r="G89" s="48">
        <f>G88*(1+$I$2)</f>
        <v>10.450000000000001</v>
      </c>
      <c r="H89" s="83"/>
      <c r="I89" s="83"/>
      <c r="J89" s="83"/>
      <c r="K89" s="83"/>
      <c r="L89" s="83"/>
      <c r="M89" s="83"/>
      <c r="N89" s="83"/>
      <c r="O89" s="83"/>
      <c r="P89" s="83"/>
      <c r="Q89" s="83"/>
      <c r="R89" s="83"/>
    </row>
    <row r="90" spans="1:18" s="28" customFormat="1" ht="15" hidden="1" customHeight="1" outlineLevel="1">
      <c r="A90" s="49" t="s">
        <v>160</v>
      </c>
      <c r="B90" s="19" t="s">
        <v>161</v>
      </c>
      <c r="C90" s="20" t="s">
        <v>118</v>
      </c>
      <c r="D90" s="39"/>
      <c r="E90" s="39">
        <f>+E88-D88</f>
        <v>1</v>
      </c>
      <c r="F90" s="39"/>
      <c r="G90" s="39">
        <f>+G88-F88</f>
        <v>1.5</v>
      </c>
      <c r="H90" s="83"/>
      <c r="I90" s="57"/>
      <c r="J90" s="83"/>
      <c r="K90" s="83"/>
      <c r="L90" s="83"/>
      <c r="M90" s="83"/>
      <c r="N90" s="83"/>
      <c r="O90" s="83"/>
      <c r="P90" s="83"/>
      <c r="Q90" s="83"/>
      <c r="R90" s="83"/>
    </row>
    <row r="91" spans="1:18" s="28" customFormat="1" ht="15" hidden="1" customHeight="1" outlineLevel="1">
      <c r="A91" s="49" t="s">
        <v>162</v>
      </c>
      <c r="B91" s="19" t="s">
        <v>140</v>
      </c>
      <c r="C91" s="20" t="s">
        <v>125</v>
      </c>
      <c r="D91" s="39"/>
      <c r="E91" s="45">
        <f>IFERROR(E90/D88,0)</f>
        <v>2.7397260273972601E-2</v>
      </c>
      <c r="F91" s="39"/>
      <c r="G91" s="45">
        <f>IFERROR(G90/F88,0)</f>
        <v>0.1875</v>
      </c>
      <c r="H91" s="83"/>
      <c r="I91" s="83"/>
      <c r="J91" s="83"/>
      <c r="K91" s="83"/>
      <c r="L91" s="83"/>
      <c r="M91" s="83"/>
      <c r="N91" s="83"/>
      <c r="O91" s="83"/>
      <c r="P91" s="83"/>
      <c r="Q91" s="83"/>
      <c r="R91" s="83"/>
    </row>
    <row r="92" spans="1:18" ht="20.100000000000001" hidden="1" customHeight="1" outlineLevel="1">
      <c r="A92" s="109" t="s">
        <v>163</v>
      </c>
      <c r="B92" s="111" t="s">
        <v>164</v>
      </c>
      <c r="C92" s="112"/>
      <c r="D92" s="107" t="s">
        <v>165</v>
      </c>
      <c r="E92" s="107" t="s">
        <v>165</v>
      </c>
      <c r="F92" s="107" t="s">
        <v>165</v>
      </c>
      <c r="G92" s="107" t="s">
        <v>165</v>
      </c>
    </row>
    <row r="93" spans="1:18" ht="20.100000000000001" hidden="1" customHeight="1" outlineLevel="1">
      <c r="A93" s="110"/>
      <c r="B93" s="113"/>
      <c r="C93" s="114"/>
      <c r="D93" s="108"/>
      <c r="E93" s="108"/>
      <c r="F93" s="108"/>
      <c r="G93" s="108"/>
    </row>
    <row r="94" spans="1:18" ht="15" customHeight="1" collapsed="1"/>
  </sheetData>
  <mergeCells count="32">
    <mergeCell ref="G92:G93"/>
    <mergeCell ref="A76:G76"/>
    <mergeCell ref="A77:G77"/>
    <mergeCell ref="A79:A81"/>
    <mergeCell ref="B79:G79"/>
    <mergeCell ref="B80:B81"/>
    <mergeCell ref="C80:C81"/>
    <mergeCell ref="D80:E80"/>
    <mergeCell ref="F80:G80"/>
    <mergeCell ref="A92:A93"/>
    <mergeCell ref="B92:C93"/>
    <mergeCell ref="D92:D93"/>
    <mergeCell ref="E92:E93"/>
    <mergeCell ref="F92:F93"/>
    <mergeCell ref="A60:A62"/>
    <mergeCell ref="B60:G60"/>
    <mergeCell ref="B61:B62"/>
    <mergeCell ref="C61:C62"/>
    <mergeCell ref="D61:E61"/>
    <mergeCell ref="F61:G61"/>
    <mergeCell ref="A13:A16"/>
    <mergeCell ref="B13:G13"/>
    <mergeCell ref="B14:B16"/>
    <mergeCell ref="C14:C16"/>
    <mergeCell ref="D14:E14"/>
    <mergeCell ref="F14:G14"/>
    <mergeCell ref="C11:G11"/>
    <mergeCell ref="A3:G3"/>
    <mergeCell ref="C6:G6"/>
    <mergeCell ref="C7:E7"/>
    <mergeCell ref="C8:E8"/>
    <mergeCell ref="C9:G10"/>
  </mergeCells>
  <conditionalFormatting sqref="P43:Q45">
    <cfRule type="cellIs" dxfId="0" priority="1" operator="equal">
      <formula>"CHYBA"</formula>
    </cfRule>
  </conditionalFormatting>
  <dataValidations count="1">
    <dataValidation type="list" allowBlank="1" showInputMessage="1" showErrorMessage="1" sqref="C8:E8">
      <formula1>#REF!</formula1>
    </dataValidation>
  </dataValidations>
  <printOptions horizontalCentered="1"/>
  <pageMargins left="0.59055118110236227" right="0.59055118110236227" top="0.59055118110236227" bottom="0.59055118110236227" header="0.31496062992125984" footer="0.31496062992125984"/>
  <pageSetup paperSize="9" scale="85" orientation="portrait" blackAndWhite="1" r:id="rId1"/>
  <headerFooter>
    <oddFooter>&amp;RZpracoval ČEVAK, a.s.</oddFooter>
  </headerFooter>
  <rowBreaks count="1" manualBreakCount="1">
    <brk id="54"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úvodní list</vt:lpstr>
      <vt:lpstr>kalkulace</vt:lpstr>
      <vt:lpstr>DSC</vt:lpstr>
      <vt:lpstr>voda převzatá z JVS</vt:lpstr>
      <vt:lpstr>Vývoj ceny V+S</vt:lpstr>
      <vt:lpstr>Komentáře</vt:lpstr>
      <vt:lpstr>změna v nákladech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Klímová Dana</dc:creator>
  <cp:lastModifiedBy>Admin</cp:lastModifiedBy>
  <dcterms:created xsi:type="dcterms:W3CDTF">2021-10-22T12:42:43Z</dcterms:created>
  <dcterms:modified xsi:type="dcterms:W3CDTF">2021-12-13T09:56:54Z</dcterms:modified>
</cp:coreProperties>
</file>